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activeTab="2"/>
  </bookViews>
  <sheets>
    <sheet name="Quantities" sheetId="1" r:id="rId1"/>
    <sheet name="Data" sheetId="2" r:id="rId2"/>
    <sheet name="Time Line" sheetId="3" r:id="rId3"/>
    <sheet name="ADT" sheetId="4" r:id="rId4"/>
    <sheet name="PCI " sheetId="5" r:id="rId5"/>
  </sheets>
  <definedNames>
    <definedName name="_xlnm.Print_Area" localSheetId="1">'Data'!$A$1:$W$45</definedName>
    <definedName name="_xlnm.Print_Area" localSheetId="0">'Quantities'!$A$1:$P$79</definedName>
    <definedName name="_xlnm.Print_Area" localSheetId="2">'Time Line'!$A$2:$AE$28</definedName>
    <definedName name="solver_adj" localSheetId="4" hidden="1">'PCI '!$E$7</definedName>
    <definedName name="solver_cvg" localSheetId="4" hidden="1">0.0001</definedName>
    <definedName name="solver_drv" localSheetId="4" hidden="1">1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'PCI '!$G$7</definedName>
    <definedName name="solver_pre" localSheetId="4" hidden="1">0.000001</definedName>
    <definedName name="solver_rbv" localSheetId="4" hidden="1">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3</definedName>
    <definedName name="solver_val" localSheetId="4" hidden="1">0</definedName>
    <definedName name="solver_ver" localSheetId="4" hidden="1">3</definedName>
  </definedNames>
  <calcPr fullCalcOnLoad="1"/>
</workbook>
</file>

<file path=xl/comments3.xml><?xml version="1.0" encoding="utf-8"?>
<comments xmlns="http://schemas.openxmlformats.org/spreadsheetml/2006/main">
  <authors>
    <author>WGS2</author>
  </authors>
  <commentList>
    <comment ref="C21" authorId="0">
      <text>
        <r>
          <rPr>
            <b/>
            <sz val="8"/>
            <rFont val="Tahoma"/>
            <family val="2"/>
          </rPr>
          <t>Genesis:  Has been adjusted based on new information from a board member.</t>
        </r>
      </text>
    </comment>
  </commentList>
</comments>
</file>

<file path=xl/sharedStrings.xml><?xml version="1.0" encoding="utf-8"?>
<sst xmlns="http://schemas.openxmlformats.org/spreadsheetml/2006/main" count="650" uniqueCount="167">
  <si>
    <t>ID</t>
  </si>
  <si>
    <t>Work</t>
  </si>
  <si>
    <t>CHIP SEAL (SF)</t>
  </si>
  <si>
    <t>REMOVE AND REPLACE (SF)</t>
  </si>
  <si>
    <t>Timeframe</t>
  </si>
  <si>
    <t>Amount</t>
  </si>
  <si>
    <t>Cost/Unit</t>
  </si>
  <si>
    <t>Total Cost</t>
  </si>
  <si>
    <t>A</t>
  </si>
  <si>
    <t>Sir Arthur Dr.</t>
  </si>
  <si>
    <t>B</t>
  </si>
  <si>
    <t>Legend Ct.</t>
  </si>
  <si>
    <t>C</t>
  </si>
  <si>
    <t>Terrance Loop Rd.</t>
  </si>
  <si>
    <t>D</t>
  </si>
  <si>
    <t>Lucille Ln.</t>
  </si>
  <si>
    <t>E</t>
  </si>
  <si>
    <t>Hofer Ln.</t>
  </si>
  <si>
    <t>F</t>
  </si>
  <si>
    <t>Rodeo Ct.</t>
  </si>
  <si>
    <t>Road Name</t>
  </si>
  <si>
    <t>Annual</t>
  </si>
  <si>
    <t>Lazy TH Estates 2016 Road Matrix</t>
  </si>
  <si>
    <t>1" MILL &amp; 2" OVERLAY (SF)</t>
  </si>
  <si>
    <t>Crack Sealing</t>
  </si>
  <si>
    <t>-</t>
  </si>
  <si>
    <t>Description</t>
  </si>
  <si>
    <t>Year</t>
  </si>
  <si>
    <t>Ditch/Culvert Cleaning</t>
  </si>
  <si>
    <t>PCI (0 - 5, 5 is best)</t>
  </si>
  <si>
    <t>Intersection Connection Condition (0 - 5, 5 is best)</t>
  </si>
  <si>
    <t>DW Culvert Condition (0 -5, 5 is best)</t>
  </si>
  <si>
    <t>DW Connection Condition (0 -5, 5 is best)</t>
  </si>
  <si>
    <t>RHS Rutting (in)</t>
  </si>
  <si>
    <t>LHS Rutting (in)</t>
  </si>
  <si>
    <r>
      <t>Weed Infestation (ft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</si>
  <si>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Road Width (ft)</t>
  </si>
  <si>
    <t>Edge Raveling (ft)</t>
  </si>
  <si>
    <t>Longitudual Cracking (ft)</t>
  </si>
  <si>
    <t>Traverse Cracking (ft)</t>
  </si>
  <si>
    <t>Lenth of Road (ft)</t>
  </si>
  <si>
    <t>Lazy TH Estates Totals</t>
  </si>
  <si>
    <t>AVERAGE</t>
  </si>
  <si>
    <t>TOTAL</t>
  </si>
  <si>
    <t>No culvert in culdisack, Ditches non-existant, driveway culverts completely full</t>
  </si>
  <si>
    <t>F4</t>
  </si>
  <si>
    <t>Rodeo Ct</t>
  </si>
  <si>
    <t>F2</t>
  </si>
  <si>
    <t>F0</t>
  </si>
  <si>
    <t>E4</t>
  </si>
  <si>
    <t>Hofer Ln</t>
  </si>
  <si>
    <t>E2</t>
  </si>
  <si>
    <t>E0</t>
  </si>
  <si>
    <t>D13</t>
  </si>
  <si>
    <t>Lucille Ln</t>
  </si>
  <si>
    <t>Driveway culvert full</t>
  </si>
  <si>
    <t>D12</t>
  </si>
  <si>
    <t>Two driveways missing culverts</t>
  </si>
  <si>
    <t>D10</t>
  </si>
  <si>
    <t>D8</t>
  </si>
  <si>
    <t>Main road culvert is comepletely full</t>
  </si>
  <si>
    <t>D6</t>
  </si>
  <si>
    <t>D4</t>
  </si>
  <si>
    <t>Driveway culvert crushed on right side and full of sediment</t>
  </si>
  <si>
    <t>D2</t>
  </si>
  <si>
    <t>D0</t>
  </si>
  <si>
    <t>Construction access blocking ditch</t>
  </si>
  <si>
    <t>C37+50</t>
  </si>
  <si>
    <t>Terrance Loop Rd</t>
  </si>
  <si>
    <t>C36</t>
  </si>
  <si>
    <t>Right driveway culvert is buried on one end</t>
  </si>
  <si>
    <t>C34</t>
  </si>
  <si>
    <t>Main road culvert crushed on right side</t>
  </si>
  <si>
    <t>C32</t>
  </si>
  <si>
    <t>Both driveway culverts blocked</t>
  </si>
  <si>
    <t>C30</t>
  </si>
  <si>
    <t>One driveway missing a culvert</t>
  </si>
  <si>
    <t>C28</t>
  </si>
  <si>
    <t>C26</t>
  </si>
  <si>
    <t>No culvert at intersection</t>
  </si>
  <si>
    <t>C24</t>
  </si>
  <si>
    <t>C22</t>
  </si>
  <si>
    <t>C20</t>
  </si>
  <si>
    <t>Driveway culvert half full of sediment</t>
  </si>
  <si>
    <t>C18</t>
  </si>
  <si>
    <t>No culvert at intersection, some driveway culverts need cleaning</t>
  </si>
  <si>
    <t>C16</t>
  </si>
  <si>
    <t>C14</t>
  </si>
  <si>
    <t>C12</t>
  </si>
  <si>
    <t>C10</t>
  </si>
  <si>
    <t>C8</t>
  </si>
  <si>
    <t>Up to 1.75" settlement above culvert, slight crushing on one end</t>
  </si>
  <si>
    <t>C6</t>
  </si>
  <si>
    <t>C4</t>
  </si>
  <si>
    <t>C2</t>
  </si>
  <si>
    <t>C0</t>
  </si>
  <si>
    <t>B4</t>
  </si>
  <si>
    <t>Legend Ct</t>
  </si>
  <si>
    <t>B2</t>
  </si>
  <si>
    <t>B0</t>
  </si>
  <si>
    <t>A28</t>
  </si>
  <si>
    <t>Sir Arthur Dr</t>
  </si>
  <si>
    <t>Bridge path in ditch, construction access blocking oppsite ditch</t>
  </si>
  <si>
    <t>A26</t>
  </si>
  <si>
    <t>Some sediment in driveway culvert</t>
  </si>
  <si>
    <t>A24</t>
  </si>
  <si>
    <t>A22</t>
  </si>
  <si>
    <t xml:space="preserve">No culvert at intersection </t>
  </si>
  <si>
    <t>A20</t>
  </si>
  <si>
    <t>A18</t>
  </si>
  <si>
    <t>A16</t>
  </si>
  <si>
    <t>A14</t>
  </si>
  <si>
    <t>Construction access ramp blocking ditch, driveway culvert covered w/ cloth</t>
  </si>
  <si>
    <t>A12</t>
  </si>
  <si>
    <t>A10</t>
  </si>
  <si>
    <t>Driveway culvert completely full of sediment</t>
  </si>
  <si>
    <t>A8</t>
  </si>
  <si>
    <t>A6</t>
  </si>
  <si>
    <t>Some sediment in driveway culverts, one fully blocked</t>
  </si>
  <si>
    <t>A4</t>
  </si>
  <si>
    <t>Some sediment in driveway culverts</t>
  </si>
  <si>
    <t>A2</t>
  </si>
  <si>
    <t>Crushing on both ends main road culvert</t>
  </si>
  <si>
    <t xml:space="preserve">A0 </t>
  </si>
  <si>
    <t>Culvert/Ditch Notes (only noted if something needs fixing)</t>
  </si>
  <si>
    <t>Station of Road (ft)</t>
  </si>
  <si>
    <t>Name</t>
  </si>
  <si>
    <t>Totals</t>
  </si>
  <si>
    <t>Rodeo</t>
  </si>
  <si>
    <t>Hofer</t>
  </si>
  <si>
    <t>Lucille</t>
  </si>
  <si>
    <t>Terrance Loop</t>
  </si>
  <si>
    <t>Legend</t>
  </si>
  <si>
    <t>Sir Arthur</t>
  </si>
  <si>
    <t>ADT</t>
  </si>
  <si>
    <t>Crossover</t>
  </si>
  <si>
    <t># of Lots</t>
  </si>
  <si>
    <t>Road</t>
  </si>
  <si>
    <t xml:space="preserve">std dev away = </t>
  </si>
  <si>
    <t>Terrance Loop Ln.</t>
  </si>
  <si>
    <t>Solver</t>
  </si>
  <si>
    <t>standev</t>
  </si>
  <si>
    <t>average</t>
  </si>
  <si>
    <t>PCI</t>
  </si>
  <si>
    <t>sqft</t>
  </si>
  <si>
    <t>Initial Catchup</t>
  </si>
  <si>
    <t>Remove &amp; Replace</t>
  </si>
  <si>
    <t>Chip Seal</t>
  </si>
  <si>
    <t>Mill &amp; Overlay</t>
  </si>
  <si>
    <t>X</t>
  </si>
  <si>
    <t>Annual Maintenance</t>
  </si>
  <si>
    <t>Prescribed Work</t>
  </si>
  <si>
    <t>Cost</t>
  </si>
  <si>
    <t>Inflation Rate =</t>
  </si>
  <si>
    <t>Total Cost (AFI)</t>
  </si>
  <si>
    <t>HOA Initial Savings Balance</t>
  </si>
  <si>
    <t>EST DUES Collected per Lot (AFI)</t>
  </si>
  <si>
    <t>EST DUES Collected (AFI)</t>
  </si>
  <si>
    <t>ACT DUES Collected (AFI)</t>
  </si>
  <si>
    <t>ACT DUES Collected per Lot (AFI)</t>
  </si>
  <si>
    <t>HOA Account Balance</t>
  </si>
  <si>
    <t>Place a capital "X" in the cell for ala cart improvements.  All light green cells are input cells.</t>
  </si>
  <si>
    <t>Road Matrix and Timeline</t>
  </si>
  <si>
    <t>Costs</t>
  </si>
  <si>
    <t>Management</t>
  </si>
  <si>
    <t>Total EST.</t>
  </si>
  <si>
    <t xml:space="preserve">Management =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</si>
</sst>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&quot;$&quot;#,##0"/>
    <numFmt numFmtId="171" formatCode="0.0%"/>
    <numFmt numFmtId="172" formatCode="_(&quot;$&quot;* #,##0_);_(&quot;$&quot;* \(#,##0\);_(&quot;$&quot;* &quot;-&quot;??_);_(@_)"/>
    <numFmt numFmtId="173" formatCode="0.000"/>
    <numFmt numFmtId="174" formatCode="&quot;$&quot;#,##0.00_);&quot;$&quot;#,##0.00"/>
    <numFmt numFmtId="175" formatCode="_(&quot;$&quot;* #,##0.0_);_(&quot;$&quot;* \(#,##0.0\);_(&quot;$&quot;* &quot;-&quot;??_);_(@_)"/>
    <numFmt numFmtId="176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rgb="FF7F7F7F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medium"/>
    </border>
    <border>
      <left style="medium"/>
      <right style="medium"/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medium"/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21" borderId="11" xfId="0" applyFont="1" applyFill="1" applyBorder="1" applyAlignment="1">
      <alignment horizontal="center" vertical="center"/>
    </xf>
    <xf numFmtId="0" fontId="49" fillId="21" borderId="12" xfId="0" applyFont="1" applyFill="1" applyBorder="1" applyAlignment="1">
      <alignment horizontal="center" vertical="center"/>
    </xf>
    <xf numFmtId="0" fontId="25" fillId="30" borderId="13" xfId="54" applyFont="1" applyBorder="1" applyAlignment="1">
      <alignment horizontal="center"/>
    </xf>
    <xf numFmtId="0" fontId="25" fillId="30" borderId="13" xfId="54" applyFont="1" applyBorder="1" applyAlignment="1">
      <alignment horizontal="center"/>
    </xf>
    <xf numFmtId="0" fontId="25" fillId="30" borderId="14" xfId="54" applyFont="1" applyBorder="1" applyAlignment="1">
      <alignment horizontal="center"/>
    </xf>
    <xf numFmtId="0" fontId="25" fillId="30" borderId="15" xfId="54" applyFont="1" applyBorder="1" applyAlignment="1">
      <alignment horizontal="center"/>
    </xf>
    <xf numFmtId="0" fontId="25" fillId="30" borderId="16" xfId="54" applyFont="1" applyBorder="1" applyAlignment="1">
      <alignment horizontal="center"/>
    </xf>
    <xf numFmtId="0" fontId="25" fillId="30" borderId="17" xfId="54" applyFont="1" applyBorder="1" applyAlignment="1">
      <alignment horizontal="center"/>
    </xf>
    <xf numFmtId="0" fontId="25" fillId="30" borderId="18" xfId="54" applyFont="1" applyBorder="1" applyAlignment="1">
      <alignment horizontal="center"/>
    </xf>
    <xf numFmtId="0" fontId="25" fillId="30" borderId="18" xfId="54" applyFont="1" applyBorder="1" applyAlignment="1">
      <alignment horizontal="center"/>
    </xf>
    <xf numFmtId="0" fontId="25" fillId="30" borderId="14" xfId="54" applyFont="1" applyBorder="1" applyAlignment="1">
      <alignment horizontal="center"/>
    </xf>
    <xf numFmtId="0" fontId="25" fillId="30" borderId="15" xfId="54" applyFont="1" applyBorder="1" applyAlignment="1">
      <alignment horizontal="center"/>
    </xf>
    <xf numFmtId="0" fontId="25" fillId="30" borderId="19" xfId="54" applyFont="1" applyBorder="1" applyAlignment="1">
      <alignment/>
    </xf>
    <xf numFmtId="0" fontId="26" fillId="33" borderId="20" xfId="54" applyFont="1" applyFill="1" applyBorder="1" applyAlignment="1">
      <alignment horizontal="center"/>
    </xf>
    <xf numFmtId="44" fontId="26" fillId="33" borderId="20" xfId="44" applyFont="1" applyFill="1" applyBorder="1" applyAlignment="1">
      <alignment horizontal="center"/>
    </xf>
    <xf numFmtId="0" fontId="26" fillId="33" borderId="21" xfId="54" applyFont="1" applyFill="1" applyBorder="1" applyAlignment="1">
      <alignment horizontal="center"/>
    </xf>
    <xf numFmtId="44" fontId="26" fillId="33" borderId="22" xfId="44" applyFont="1" applyFill="1" applyBorder="1" applyAlignment="1">
      <alignment horizontal="center"/>
    </xf>
    <xf numFmtId="44" fontId="26" fillId="33" borderId="23" xfId="44" applyFont="1" applyFill="1" applyBorder="1" applyAlignment="1">
      <alignment horizontal="center"/>
    </xf>
    <xf numFmtId="44" fontId="26" fillId="33" borderId="16" xfId="44" applyFont="1" applyFill="1" applyBorder="1" applyAlignment="1">
      <alignment horizontal="center"/>
    </xf>
    <xf numFmtId="0" fontId="26" fillId="33" borderId="24" xfId="54" applyFont="1" applyFill="1" applyBorder="1" applyAlignment="1">
      <alignment horizontal="center"/>
    </xf>
    <xf numFmtId="44" fontId="26" fillId="33" borderId="24" xfId="44" applyFont="1" applyFill="1" applyBorder="1" applyAlignment="1">
      <alignment horizontal="center"/>
    </xf>
    <xf numFmtId="0" fontId="26" fillId="33" borderId="25" xfId="54" applyFont="1" applyFill="1" applyBorder="1" applyAlignment="1">
      <alignment horizontal="center"/>
    </xf>
    <xf numFmtId="44" fontId="26" fillId="33" borderId="26" xfId="44" applyFont="1" applyFill="1" applyBorder="1" applyAlignment="1">
      <alignment horizontal="center"/>
    </xf>
    <xf numFmtId="44" fontId="26" fillId="33" borderId="17" xfId="44" applyFont="1" applyFill="1" applyBorder="1" applyAlignment="1">
      <alignment horizontal="center"/>
    </xf>
    <xf numFmtId="44" fontId="26" fillId="33" borderId="27" xfId="44" applyFont="1" applyFill="1" applyBorder="1" applyAlignment="1">
      <alignment horizontal="center"/>
    </xf>
    <xf numFmtId="0" fontId="26" fillId="33" borderId="28" xfId="54" applyFont="1" applyFill="1" applyBorder="1" applyAlignment="1">
      <alignment horizontal="center"/>
    </xf>
    <xf numFmtId="44" fontId="26" fillId="33" borderId="28" xfId="44" applyFont="1" applyFill="1" applyBorder="1" applyAlignment="1">
      <alignment horizontal="center"/>
    </xf>
    <xf numFmtId="0" fontId="26" fillId="33" borderId="29" xfId="54" applyFont="1" applyFill="1" applyBorder="1" applyAlignment="1">
      <alignment horizontal="center"/>
    </xf>
    <xf numFmtId="44" fontId="26" fillId="33" borderId="30" xfId="44" applyFont="1" applyFill="1" applyBorder="1" applyAlignment="1">
      <alignment horizontal="center"/>
    </xf>
    <xf numFmtId="44" fontId="26" fillId="33" borderId="31" xfId="44" applyFont="1" applyFill="1" applyBorder="1" applyAlignment="1">
      <alignment horizontal="center"/>
    </xf>
    <xf numFmtId="44" fontId="26" fillId="33" borderId="32" xfId="44" applyFont="1" applyFill="1" applyBorder="1" applyAlignment="1">
      <alignment horizontal="center"/>
    </xf>
    <xf numFmtId="0" fontId="26" fillId="33" borderId="33" xfId="54" applyFont="1" applyFill="1" applyBorder="1" applyAlignment="1">
      <alignment horizontal="center"/>
    </xf>
    <xf numFmtId="1" fontId="26" fillId="33" borderId="21" xfId="54" applyNumberFormat="1" applyFont="1" applyFill="1" applyBorder="1" applyAlignment="1">
      <alignment horizontal="center"/>
    </xf>
    <xf numFmtId="0" fontId="26" fillId="0" borderId="0" xfId="54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25" fillId="30" borderId="34" xfId="54" applyFont="1" applyBorder="1" applyAlignment="1">
      <alignment horizontal="center"/>
    </xf>
    <xf numFmtId="0" fontId="25" fillId="30" borderId="35" xfId="54" applyFont="1" applyBorder="1" applyAlignment="1">
      <alignment horizontal="center"/>
    </xf>
    <xf numFmtId="44" fontId="26" fillId="33" borderId="36" xfId="44" applyFont="1" applyFill="1" applyBorder="1" applyAlignment="1">
      <alignment horizontal="center"/>
    </xf>
    <xf numFmtId="1" fontId="26" fillId="33" borderId="20" xfId="54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174" fontId="49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/>
    </xf>
    <xf numFmtId="2" fontId="49" fillId="0" borderId="37" xfId="0" applyNumberFormat="1" applyFont="1" applyBorder="1" applyAlignment="1">
      <alignment horizontal="center" vertical="center"/>
    </xf>
    <xf numFmtId="169" fontId="49" fillId="0" borderId="10" xfId="0" applyNumberFormat="1" applyFont="1" applyBorder="1" applyAlignment="1">
      <alignment horizontal="center" vertical="center"/>
    </xf>
    <xf numFmtId="173" fontId="49" fillId="0" borderId="10" xfId="0" applyNumberFormat="1" applyFont="1" applyBorder="1" applyAlignment="1">
      <alignment horizontal="center" vertical="center"/>
    </xf>
    <xf numFmtId="169" fontId="49" fillId="0" borderId="38" xfId="0" applyNumberFormat="1" applyFont="1" applyBorder="1" applyAlignment="1">
      <alignment horizontal="center" vertical="center"/>
    </xf>
    <xf numFmtId="169" fontId="49" fillId="3" borderId="39" xfId="0" applyNumberFormat="1" applyFont="1" applyFill="1" applyBorder="1" applyAlignment="1">
      <alignment horizontal="center" vertical="center" wrapText="1"/>
    </xf>
    <xf numFmtId="169" fontId="49" fillId="3" borderId="40" xfId="0" applyNumberFormat="1" applyFont="1" applyFill="1" applyBorder="1" applyAlignment="1">
      <alignment horizontal="center" vertical="center" wrapText="1"/>
    </xf>
    <xf numFmtId="173" fontId="49" fillId="3" borderId="40" xfId="0" applyNumberFormat="1" applyFont="1" applyFill="1" applyBorder="1" applyAlignment="1">
      <alignment horizontal="center" vertical="center" wrapText="1"/>
    </xf>
    <xf numFmtId="0" fontId="49" fillId="3" borderId="40" xfId="0" applyFont="1" applyFill="1" applyBorder="1" applyAlignment="1">
      <alignment horizontal="center" vertical="center" wrapText="1"/>
    </xf>
    <xf numFmtId="0" fontId="49" fillId="3" borderId="4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49" fillId="15" borderId="42" xfId="0" applyNumberFormat="1" applyFont="1" applyFill="1" applyBorder="1" applyAlignment="1">
      <alignment horizontal="center" vertical="center"/>
    </xf>
    <xf numFmtId="169" fontId="49" fillId="15" borderId="43" xfId="0" applyNumberFormat="1" applyFont="1" applyFill="1" applyBorder="1" applyAlignment="1">
      <alignment horizontal="center" vertical="center"/>
    </xf>
    <xf numFmtId="173" fontId="49" fillId="15" borderId="43" xfId="0" applyNumberFormat="1" applyFont="1" applyFill="1" applyBorder="1" applyAlignment="1">
      <alignment horizontal="center" vertical="center"/>
    </xf>
    <xf numFmtId="0" fontId="49" fillId="15" borderId="43" xfId="0" applyFont="1" applyFill="1" applyBorder="1" applyAlignment="1">
      <alignment horizontal="center" vertical="center"/>
    </xf>
    <xf numFmtId="0" fontId="49" fillId="15" borderId="44" xfId="0" applyFont="1" applyFill="1" applyBorder="1" applyAlignment="1">
      <alignment horizontal="center" vertical="center"/>
    </xf>
    <xf numFmtId="169" fontId="49" fillId="15" borderId="45" xfId="0" applyNumberFormat="1" applyFont="1" applyFill="1" applyBorder="1" applyAlignment="1">
      <alignment horizontal="center" vertical="center"/>
    </xf>
    <xf numFmtId="169" fontId="49" fillId="15" borderId="46" xfId="0" applyNumberFormat="1" applyFont="1" applyFill="1" applyBorder="1" applyAlignment="1">
      <alignment horizontal="center" vertical="center"/>
    </xf>
    <xf numFmtId="173" fontId="49" fillId="15" borderId="46" xfId="0" applyNumberFormat="1" applyFont="1" applyFill="1" applyBorder="1" applyAlignment="1">
      <alignment horizontal="center" vertical="center"/>
    </xf>
    <xf numFmtId="0" fontId="49" fillId="15" borderId="46" xfId="0" applyFont="1" applyFill="1" applyBorder="1" applyAlignment="1">
      <alignment horizontal="center" vertical="center"/>
    </xf>
    <xf numFmtId="0" fontId="49" fillId="15" borderId="47" xfId="0" applyFont="1" applyFill="1" applyBorder="1" applyAlignment="1">
      <alignment horizontal="center" vertical="center"/>
    </xf>
    <xf numFmtId="169" fontId="0" fillId="0" borderId="45" xfId="0" applyNumberFormat="1" applyBorder="1" applyAlignment="1">
      <alignment horizontal="center" vertical="center"/>
    </xf>
    <xf numFmtId="169" fontId="0" fillId="0" borderId="46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169" fontId="0" fillId="34" borderId="45" xfId="0" applyNumberFormat="1" applyFill="1" applyBorder="1" applyAlignment="1">
      <alignment horizontal="center" vertical="center"/>
    </xf>
    <xf numFmtId="169" fontId="0" fillId="34" borderId="46" xfId="0" applyNumberFormat="1" applyFill="1" applyBorder="1" applyAlignment="1">
      <alignment horizontal="center" vertical="center"/>
    </xf>
    <xf numFmtId="173" fontId="0" fillId="34" borderId="46" xfId="0" applyNumberFormat="1" applyFill="1" applyBorder="1" applyAlignment="1">
      <alignment horizontal="center" vertical="center"/>
    </xf>
    <xf numFmtId="169" fontId="49" fillId="34" borderId="46" xfId="0" applyNumberFormat="1" applyFont="1" applyFill="1" applyBorder="1" applyAlignment="1">
      <alignment horizontal="center" vertical="center"/>
    </xf>
    <xf numFmtId="0" fontId="49" fillId="34" borderId="46" xfId="0" applyFont="1" applyFill="1" applyBorder="1" applyAlignment="1">
      <alignment horizontal="center" vertical="center"/>
    </xf>
    <xf numFmtId="0" fontId="49" fillId="34" borderId="47" xfId="0" applyFont="1" applyFill="1" applyBorder="1" applyAlignment="1">
      <alignment horizontal="center" vertical="center"/>
    </xf>
    <xf numFmtId="2" fontId="49" fillId="15" borderId="45" xfId="0" applyNumberFormat="1" applyFont="1" applyFill="1" applyBorder="1" applyAlignment="1">
      <alignment horizontal="center" vertical="center"/>
    </xf>
    <xf numFmtId="176" fontId="49" fillId="15" borderId="46" xfId="0" applyNumberFormat="1" applyFont="1" applyFill="1" applyBorder="1" applyAlignment="1">
      <alignment horizontal="center" vertical="center"/>
    </xf>
    <xf numFmtId="169" fontId="27" fillId="3" borderId="48" xfId="54" applyNumberFormat="1" applyFont="1" applyFill="1" applyBorder="1" applyAlignment="1">
      <alignment horizontal="center" vertical="center"/>
    </xf>
    <xf numFmtId="169" fontId="27" fillId="3" borderId="46" xfId="54" applyNumberFormat="1" applyFont="1" applyFill="1" applyBorder="1" applyAlignment="1">
      <alignment horizontal="center" vertical="center"/>
    </xf>
    <xf numFmtId="173" fontId="27" fillId="3" borderId="46" xfId="54" applyNumberFormat="1" applyFont="1" applyFill="1" applyBorder="1" applyAlignment="1">
      <alignment horizontal="center" vertical="center"/>
    </xf>
    <xf numFmtId="0" fontId="28" fillId="3" borderId="46" xfId="54" applyFont="1" applyFill="1" applyBorder="1" applyAlignment="1">
      <alignment horizontal="center" vertical="center"/>
    </xf>
    <xf numFmtId="0" fontId="49" fillId="3" borderId="47" xfId="0" applyFont="1" applyFill="1" applyBorder="1" applyAlignment="1">
      <alignment horizontal="center" vertical="center"/>
    </xf>
    <xf numFmtId="2" fontId="0" fillId="34" borderId="46" xfId="0" applyNumberFormat="1" applyFill="1" applyBorder="1" applyAlignment="1">
      <alignment horizontal="center" vertical="center"/>
    </xf>
    <xf numFmtId="2" fontId="0" fillId="34" borderId="45" xfId="0" applyNumberFormat="1" applyFill="1" applyBorder="1" applyAlignment="1">
      <alignment horizontal="center" vertical="center"/>
    </xf>
    <xf numFmtId="173" fontId="49" fillId="15" borderId="45" xfId="0" applyNumberFormat="1" applyFont="1" applyFill="1" applyBorder="1" applyAlignment="1">
      <alignment horizontal="center" vertical="center"/>
    </xf>
    <xf numFmtId="173" fontId="0" fillId="0" borderId="46" xfId="0" applyNumberFormat="1" applyBorder="1" applyAlignment="1">
      <alignment horizontal="center"/>
    </xf>
    <xf numFmtId="169" fontId="0" fillId="0" borderId="49" xfId="0" applyNumberFormat="1" applyBorder="1" applyAlignment="1">
      <alignment horizontal="center" vertical="center"/>
    </xf>
    <xf numFmtId="169" fontId="0" fillId="0" borderId="50" xfId="0" applyNumberFormat="1" applyBorder="1" applyAlignment="1">
      <alignment horizontal="center" vertical="center"/>
    </xf>
    <xf numFmtId="173" fontId="0" fillId="0" borderId="50" xfId="0" applyNumberFormat="1" applyBorder="1" applyAlignment="1">
      <alignment horizontal="center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2" fontId="0" fillId="0" borderId="0" xfId="0" applyNumberFormat="1" applyAlignment="1">
      <alignment/>
    </xf>
    <xf numFmtId="3" fontId="26" fillId="33" borderId="21" xfId="54" applyNumberFormat="1" applyFont="1" applyFill="1" applyBorder="1" applyAlignment="1">
      <alignment horizontal="center"/>
    </xf>
    <xf numFmtId="3" fontId="26" fillId="33" borderId="24" xfId="54" applyNumberFormat="1" applyFont="1" applyFill="1" applyBorder="1" applyAlignment="1">
      <alignment horizontal="center"/>
    </xf>
    <xf numFmtId="3" fontId="26" fillId="33" borderId="29" xfId="54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5" fillId="30" borderId="36" xfId="54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30" borderId="20" xfId="54" applyFont="1" applyBorder="1" applyAlignment="1">
      <alignment horizontal="center"/>
    </xf>
    <xf numFmtId="0" fontId="0" fillId="0" borderId="54" xfId="0" applyBorder="1" applyAlignment="1">
      <alignment/>
    </xf>
    <xf numFmtId="0" fontId="25" fillId="30" borderId="55" xfId="54" applyFont="1" applyBorder="1" applyAlignment="1">
      <alignment horizontal="center"/>
    </xf>
    <xf numFmtId="44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44" fontId="0" fillId="0" borderId="34" xfId="0" applyNumberFormat="1" applyBorder="1" applyAlignment="1">
      <alignment/>
    </xf>
    <xf numFmtId="0" fontId="0" fillId="0" borderId="38" xfId="0" applyBorder="1" applyAlignment="1">
      <alignment/>
    </xf>
    <xf numFmtId="0" fontId="25" fillId="30" borderId="28" xfId="54" applyFont="1" applyBorder="1" applyAlignment="1">
      <alignment horizontal="center"/>
    </xf>
    <xf numFmtId="44" fontId="0" fillId="0" borderId="37" xfId="0" applyNumberFormat="1" applyBorder="1" applyAlignment="1">
      <alignment/>
    </xf>
    <xf numFmtId="44" fontId="0" fillId="0" borderId="13" xfId="44" applyFont="1" applyBorder="1" applyAlignment="1">
      <alignment/>
    </xf>
    <xf numFmtId="0" fontId="0" fillId="0" borderId="54" xfId="0" applyFill="1" applyBorder="1" applyAlignment="1">
      <alignment horizontal="center"/>
    </xf>
    <xf numFmtId="44" fontId="0" fillId="0" borderId="58" xfId="44" applyFont="1" applyBorder="1" applyAlignment="1">
      <alignment/>
    </xf>
    <xf numFmtId="44" fontId="0" fillId="0" borderId="56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34" xfId="44" applyFont="1" applyBorder="1" applyAlignment="1">
      <alignment/>
    </xf>
    <xf numFmtId="0" fontId="0" fillId="0" borderId="59" xfId="0" applyBorder="1" applyAlignment="1">
      <alignment/>
    </xf>
    <xf numFmtId="44" fontId="0" fillId="0" borderId="18" xfId="44" applyFont="1" applyBorder="1" applyAlignment="1">
      <alignment/>
    </xf>
    <xf numFmtId="0" fontId="0" fillId="0" borderId="57" xfId="0" applyBorder="1" applyAlignment="1">
      <alignment horizontal="center"/>
    </xf>
    <xf numFmtId="44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44" applyFont="1" applyBorder="1" applyAlignment="1">
      <alignment/>
    </xf>
    <xf numFmtId="44" fontId="0" fillId="0" borderId="37" xfId="44" applyFont="1" applyBorder="1" applyAlignment="1">
      <alignment/>
    </xf>
    <xf numFmtId="0" fontId="49" fillId="0" borderId="60" xfId="0" applyFont="1" applyBorder="1" applyAlignment="1">
      <alignment horizontal="center"/>
    </xf>
    <xf numFmtId="0" fontId="49" fillId="0" borderId="61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44" fontId="0" fillId="33" borderId="0" xfId="44" applyFont="1" applyFill="1" applyAlignment="1">
      <alignment/>
    </xf>
    <xf numFmtId="44" fontId="0" fillId="33" borderId="13" xfId="44" applyFont="1" applyFill="1" applyBorder="1" applyAlignment="1">
      <alignment/>
    </xf>
    <xf numFmtId="44" fontId="0" fillId="34" borderId="13" xfId="44" applyFont="1" applyFill="1" applyBorder="1" applyAlignment="1">
      <alignment/>
    </xf>
    <xf numFmtId="44" fontId="0" fillId="34" borderId="0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171" fontId="0" fillId="7" borderId="0" xfId="20" applyNumberFormat="1" applyAlignment="1">
      <alignment horizontal="center"/>
    </xf>
    <xf numFmtId="0" fontId="0" fillId="0" borderId="65" xfId="0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49" fillId="0" borderId="66" xfId="0" applyFont="1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67" xfId="0" applyFont="1" applyBorder="1" applyAlignment="1">
      <alignment horizontal="center"/>
    </xf>
    <xf numFmtId="44" fontId="0" fillId="7" borderId="58" xfId="20" applyNumberFormat="1" applyBorder="1" applyAlignment="1">
      <alignment/>
    </xf>
    <xf numFmtId="0" fontId="0" fillId="0" borderId="58" xfId="0" applyBorder="1" applyAlignment="1">
      <alignment/>
    </xf>
    <xf numFmtId="0" fontId="0" fillId="0" borderId="56" xfId="0" applyBorder="1" applyAlignment="1">
      <alignment/>
    </xf>
    <xf numFmtId="44" fontId="0" fillId="7" borderId="0" xfId="20" applyNumberFormat="1" applyBorder="1" applyAlignment="1">
      <alignment/>
    </xf>
    <xf numFmtId="44" fontId="0" fillId="33" borderId="34" xfId="44" applyFont="1" applyFill="1" applyBorder="1" applyAlignment="1">
      <alignment/>
    </xf>
    <xf numFmtId="44" fontId="0" fillId="33" borderId="18" xfId="44" applyFont="1" applyFill="1" applyBorder="1" applyAlignment="1">
      <alignment/>
    </xf>
    <xf numFmtId="0" fontId="0" fillId="0" borderId="38" xfId="0" applyBorder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37" xfId="0" applyNumberFormat="1" applyBorder="1" applyAlignment="1">
      <alignment/>
    </xf>
    <xf numFmtId="0" fontId="49" fillId="0" borderId="13" xfId="0" applyFont="1" applyBorder="1" applyAlignment="1">
      <alignment horizontal="center"/>
    </xf>
    <xf numFmtId="0" fontId="0" fillId="0" borderId="68" xfId="0" applyBorder="1" applyAlignment="1">
      <alignment horizontal="center"/>
    </xf>
    <xf numFmtId="9" fontId="0" fillId="0" borderId="68" xfId="59" applyFont="1" applyBorder="1" applyAlignment="1">
      <alignment horizontal="center"/>
    </xf>
    <xf numFmtId="9" fontId="0" fillId="0" borderId="0" xfId="59" applyFont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3" xfId="59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7" borderId="69" xfId="0" applyFont="1" applyFill="1" applyBorder="1" applyAlignment="1">
      <alignment horizontal="center"/>
    </xf>
    <xf numFmtId="0" fontId="49" fillId="7" borderId="70" xfId="0" applyFont="1" applyFill="1" applyBorder="1" applyAlignment="1">
      <alignment horizontal="center"/>
    </xf>
    <xf numFmtId="0" fontId="49" fillId="7" borderId="71" xfId="0" applyFont="1" applyFill="1" applyBorder="1" applyAlignment="1">
      <alignment horizontal="center"/>
    </xf>
    <xf numFmtId="0" fontId="49" fillId="7" borderId="72" xfId="0" applyFont="1" applyFill="1" applyBorder="1" applyAlignment="1">
      <alignment horizontal="center"/>
    </xf>
    <xf numFmtId="0" fontId="49" fillId="7" borderId="46" xfId="0" applyFont="1" applyFill="1" applyBorder="1" applyAlignment="1">
      <alignment horizontal="center"/>
    </xf>
    <xf numFmtId="0" fontId="49" fillId="7" borderId="73" xfId="0" applyFont="1" applyFill="1" applyBorder="1" applyAlignment="1">
      <alignment horizontal="center"/>
    </xf>
    <xf numFmtId="0" fontId="49" fillId="7" borderId="66" xfId="0" applyFont="1" applyFill="1" applyBorder="1" applyAlignment="1">
      <alignment horizontal="center"/>
    </xf>
    <xf numFmtId="0" fontId="49" fillId="7" borderId="43" xfId="0" applyFont="1" applyFill="1" applyBorder="1" applyAlignment="1">
      <alignment horizontal="center"/>
    </xf>
    <xf numFmtId="0" fontId="49" fillId="7" borderId="67" xfId="0" applyFont="1" applyFill="1" applyBorder="1" applyAlignment="1">
      <alignment horizontal="center"/>
    </xf>
    <xf numFmtId="0" fontId="49" fillId="21" borderId="74" xfId="0" applyFont="1" applyFill="1" applyBorder="1" applyAlignment="1">
      <alignment horizontal="center" vertical="center"/>
    </xf>
    <xf numFmtId="0" fontId="25" fillId="30" borderId="18" xfId="54" applyFont="1" applyBorder="1" applyAlignment="1">
      <alignment horizontal="center"/>
    </xf>
    <xf numFmtId="0" fontId="52" fillId="0" borderId="0" xfId="0" applyFont="1" applyAlignment="1">
      <alignment/>
    </xf>
    <xf numFmtId="0" fontId="25" fillId="30" borderId="58" xfId="54" applyFont="1" applyBorder="1" applyAlignment="1">
      <alignment horizontal="center"/>
    </xf>
    <xf numFmtId="0" fontId="25" fillId="30" borderId="0" xfId="54" applyFont="1" applyBorder="1" applyAlignment="1">
      <alignment horizontal="center"/>
    </xf>
    <xf numFmtId="0" fontId="25" fillId="30" borderId="10" xfId="54" applyFont="1" applyBorder="1" applyAlignment="1">
      <alignment horizontal="center"/>
    </xf>
    <xf numFmtId="44" fontId="26" fillId="33" borderId="34" xfId="44" applyFont="1" applyFill="1" applyBorder="1" applyAlignment="1">
      <alignment horizontal="center"/>
    </xf>
    <xf numFmtId="0" fontId="25" fillId="30" borderId="75" xfId="54" applyFont="1" applyBorder="1" applyAlignment="1">
      <alignment horizontal="center"/>
    </xf>
    <xf numFmtId="0" fontId="25" fillId="30" borderId="76" xfId="54" applyFont="1" applyBorder="1" applyAlignment="1">
      <alignment horizontal="center"/>
    </xf>
    <xf numFmtId="10" fontId="25" fillId="30" borderId="0" xfId="59" applyNumberFormat="1" applyFont="1" applyFill="1" applyBorder="1" applyAlignment="1">
      <alignment horizontal="center"/>
    </xf>
    <xf numFmtId="0" fontId="49" fillId="15" borderId="41" xfId="0" applyFont="1" applyFill="1" applyBorder="1" applyAlignment="1">
      <alignment horizontal="center" vertical="center"/>
    </xf>
    <xf numFmtId="0" fontId="49" fillId="15" borderId="40" xfId="0" applyFont="1" applyFill="1" applyBorder="1" applyAlignment="1">
      <alignment horizontal="center" vertical="center"/>
    </xf>
    <xf numFmtId="0" fontId="49" fillId="15" borderId="39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9" fillId="21" borderId="77" xfId="0" applyFont="1" applyFill="1" applyBorder="1" applyAlignment="1">
      <alignment horizontal="center" vertical="center"/>
    </xf>
    <xf numFmtId="0" fontId="49" fillId="21" borderId="78" xfId="0" applyFont="1" applyFill="1" applyBorder="1" applyAlignment="1">
      <alignment horizontal="center" vertical="center"/>
    </xf>
    <xf numFmtId="0" fontId="49" fillId="21" borderId="74" xfId="0" applyFont="1" applyFill="1" applyBorder="1" applyAlignment="1">
      <alignment horizontal="center" vertical="center"/>
    </xf>
    <xf numFmtId="0" fontId="25" fillId="30" borderId="13" xfId="54" applyFont="1" applyBorder="1" applyAlignment="1">
      <alignment horizontal="center"/>
    </xf>
    <xf numFmtId="0" fontId="25" fillId="30" borderId="79" xfId="54" applyFont="1" applyBorder="1" applyAlignment="1">
      <alignment horizontal="center"/>
    </xf>
    <xf numFmtId="0" fontId="25" fillId="30" borderId="80" xfId="54" applyFont="1" applyBorder="1" applyAlignment="1">
      <alignment horizontal="center"/>
    </xf>
    <xf numFmtId="0" fontId="25" fillId="30" borderId="81" xfId="54" applyFont="1" applyBorder="1" applyAlignment="1">
      <alignment horizontal="center"/>
    </xf>
    <xf numFmtId="0" fontId="54" fillId="21" borderId="82" xfId="0" applyFont="1" applyFill="1" applyBorder="1" applyAlignment="1">
      <alignment horizontal="center" vertical="center"/>
    </xf>
    <xf numFmtId="0" fontId="54" fillId="21" borderId="83" xfId="0" applyFont="1" applyFill="1" applyBorder="1" applyAlignment="1">
      <alignment horizontal="center" vertical="center"/>
    </xf>
    <xf numFmtId="0" fontId="54" fillId="21" borderId="84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horizontal="center" vertical="center"/>
    </xf>
    <xf numFmtId="0" fontId="54" fillId="21" borderId="34" xfId="0" applyFont="1" applyFill="1" applyBorder="1" applyAlignment="1">
      <alignment horizontal="center" vertical="center"/>
    </xf>
    <xf numFmtId="0" fontId="54" fillId="21" borderId="85" xfId="0" applyFont="1" applyFill="1" applyBorder="1" applyAlignment="1">
      <alignment horizontal="center" vertical="center"/>
    </xf>
    <xf numFmtId="0" fontId="54" fillId="21" borderId="86" xfId="0" applyFont="1" applyFill="1" applyBorder="1" applyAlignment="1">
      <alignment horizontal="center" vertical="center"/>
    </xf>
    <xf numFmtId="0" fontId="54" fillId="21" borderId="87" xfId="0" applyFont="1" applyFill="1" applyBorder="1" applyAlignment="1">
      <alignment horizontal="center" vertical="center"/>
    </xf>
    <xf numFmtId="0" fontId="54" fillId="21" borderId="88" xfId="0" applyFont="1" applyFill="1" applyBorder="1" applyAlignment="1">
      <alignment horizontal="center" vertical="center"/>
    </xf>
    <xf numFmtId="0" fontId="54" fillId="21" borderId="89" xfId="0" applyFont="1" applyFill="1" applyBorder="1" applyAlignment="1">
      <alignment horizontal="center" vertical="center"/>
    </xf>
    <xf numFmtId="0" fontId="25" fillId="30" borderId="18" xfId="54" applyFont="1" applyBorder="1" applyAlignment="1">
      <alignment horizontal="center"/>
    </xf>
    <xf numFmtId="0" fontId="25" fillId="30" borderId="90" xfId="54" applyFont="1" applyBorder="1" applyAlignment="1">
      <alignment horizontal="center"/>
    </xf>
    <xf numFmtId="0" fontId="25" fillId="30" borderId="14" xfId="54" applyFont="1" applyBorder="1" applyAlignment="1">
      <alignment horizontal="center"/>
    </xf>
    <xf numFmtId="0" fontId="25" fillId="30" borderId="15" xfId="54" applyFont="1" applyBorder="1" applyAlignment="1">
      <alignment horizontal="center"/>
    </xf>
    <xf numFmtId="0" fontId="54" fillId="21" borderId="91" xfId="0" applyFont="1" applyFill="1" applyBorder="1" applyAlignment="1">
      <alignment horizontal="center" vertical="center"/>
    </xf>
    <xf numFmtId="0" fontId="54" fillId="21" borderId="76" xfId="0" applyFont="1" applyFill="1" applyBorder="1" applyAlignment="1">
      <alignment horizontal="center" vertical="center"/>
    </xf>
    <xf numFmtId="0" fontId="54" fillId="21" borderId="92" xfId="0" applyFont="1" applyFill="1" applyBorder="1" applyAlignment="1">
      <alignment horizontal="center" vertical="center"/>
    </xf>
    <xf numFmtId="0" fontId="54" fillId="21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15"/>
          <c:y val="0.01975"/>
          <c:w val="0.99725"/>
          <c:h val="0.9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'Time Line'!$B$27</c:f>
              <c:strCache>
                <c:ptCount val="1"/>
                <c:pt idx="0">
                  <c:v>HOA Account Balance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'Time Line'!$C$4:$AD$4</c:f>
              <c:numCache/>
            </c:numRef>
          </c:xVal>
          <c:yVal>
            <c:numRef>
              <c:f>'Time Line'!$C$27:$AD$27</c:f>
              <c:numCache/>
            </c:numRef>
          </c:yVal>
          <c:smooth val="0"/>
        </c:ser>
        <c:axId val="46344852"/>
        <c:axId val="14450485"/>
      </c:scatterChart>
      <c:valAx>
        <c:axId val="46344852"/>
        <c:scaling>
          <c:orientation val="minMax"/>
          <c:min val="201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450485"/>
        <c:crosses val="autoZero"/>
        <c:crossBetween val="midCat"/>
        <c:dispUnits/>
      </c:valAx>
      <c:valAx>
        <c:axId val="14450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3448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0855"/>
          <c:w val="0.98375"/>
          <c:h val="0.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'Time Line'!$B$27</c:f>
              <c:strCache>
                <c:ptCount val="1"/>
                <c:pt idx="0">
                  <c:v>HOA Account Balance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'Time Line'!$C$4:$AD$4</c:f>
              <c:numCache/>
            </c:numRef>
          </c:xVal>
          <c:yVal>
            <c:numRef>
              <c:f>'Time Line'!$C$27:$AD$27</c:f>
              <c:numCache/>
            </c:numRef>
          </c:yVal>
          <c:smooth val="0"/>
        </c:ser>
        <c:axId val="62945502"/>
        <c:axId val="29638607"/>
      </c:scatterChart>
      <c:valAx>
        <c:axId val="62945502"/>
        <c:scaling>
          <c:orientation val="minMax"/>
          <c:min val="201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638607"/>
        <c:crosses val="autoZero"/>
        <c:crossBetween val="midCat"/>
        <c:dispUnits/>
      </c:valAx>
      <c:valAx>
        <c:axId val="296386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9455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Lazy TH Estates PCI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975"/>
          <c:w val="0.972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'PCI '!$A$2:$A$7</c:f>
              <c:strCache/>
            </c:strRef>
          </c:cat>
          <c:val>
            <c:numRef>
              <c:f>'PCI '!$B$2:$B$7</c:f>
              <c:numCache/>
            </c:numRef>
          </c:val>
        </c:ser>
        <c:overlap val="-27"/>
        <c:gapWidth val="219"/>
        <c:axId val="65420872"/>
        <c:axId val="5191693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'PCI '!$A$2:$A$7</c:f>
              <c:strCache/>
            </c:strRef>
          </c:cat>
          <c:val>
            <c:numRef>
              <c:f>'PCI '!$C$2:$C$7</c:f>
              <c:numCache/>
            </c:numRef>
          </c:val>
          <c:smooth val="0"/>
        </c:ser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420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48</xdr:row>
      <xdr:rowOff>57150</xdr:rowOff>
    </xdr:from>
    <xdr:to>
      <xdr:col>30</xdr:col>
      <xdr:colOff>47625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238125" y="9410700"/>
        <a:ext cx="295751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161925</xdr:rowOff>
    </xdr:from>
    <xdr:to>
      <xdr:col>5</xdr:col>
      <xdr:colOff>152400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95250" y="5705475"/>
        <a:ext cx="5505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9</xdr:row>
      <xdr:rowOff>66675</xdr:rowOff>
    </xdr:from>
    <xdr:to>
      <xdr:col>13</xdr:col>
      <xdr:colOff>142875</xdr:colOff>
      <xdr:row>23</xdr:row>
      <xdr:rowOff>142875</xdr:rowOff>
    </xdr:to>
    <xdr:graphicFrame>
      <xdr:nvGraphicFramePr>
        <xdr:cNvPr id="1" name="Chart 2"/>
        <xdr:cNvGraphicFramePr/>
      </xdr:nvGraphicFramePr>
      <xdr:xfrm>
        <a:off x="3848100" y="1790700"/>
        <a:ext cx="4762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78"/>
  <sheetViews>
    <sheetView view="pageBreakPreview" zoomScale="40" zoomScaleSheetLayoutView="40" zoomScalePageLayoutView="0" workbookViewId="0" topLeftCell="A1">
      <selection activeCell="O49" sqref="O49"/>
    </sheetView>
  </sheetViews>
  <sheetFormatPr defaultColWidth="9.140625" defaultRowHeight="15"/>
  <cols>
    <col min="1" max="1" width="4.00390625" style="2" customWidth="1"/>
    <col min="2" max="2" width="22.421875" style="2" bestFit="1" customWidth="1"/>
    <col min="3" max="3" width="12.140625" style="47" customWidth="1"/>
    <col min="4" max="4" width="10.8515625" style="47" customWidth="1"/>
    <col min="5" max="5" width="11.8515625" style="2" customWidth="1"/>
    <col min="6" max="6" width="16.421875" style="2" customWidth="1"/>
    <col min="7" max="7" width="12.140625" style="2" customWidth="1"/>
    <col min="8" max="12" width="16.421875" style="2" customWidth="1"/>
    <col min="13" max="13" width="25.421875" style="2" customWidth="1"/>
    <col min="14" max="14" width="21.140625" style="2" customWidth="1"/>
    <col min="15" max="15" width="15.140625" style="2" customWidth="1"/>
    <col min="16" max="16" width="76.00390625" style="2" customWidth="1"/>
    <col min="17" max="16384" width="9.140625" style="2" customWidth="1"/>
  </cols>
  <sheetData>
    <row r="1" ht="15.75" thickBot="1"/>
    <row r="2" spans="2:16" s="96" customFormat="1" ht="62.25" customHeight="1" thickBot="1">
      <c r="B2" s="100" t="s">
        <v>126</v>
      </c>
      <c r="C2" s="99" t="s">
        <v>26</v>
      </c>
      <c r="D2" s="99" t="s">
        <v>125</v>
      </c>
      <c r="E2" s="99" t="s">
        <v>39</v>
      </c>
      <c r="F2" s="99" t="s">
        <v>38</v>
      </c>
      <c r="G2" s="99" t="s">
        <v>37</v>
      </c>
      <c r="H2" s="99" t="s">
        <v>36</v>
      </c>
      <c r="I2" s="99" t="s">
        <v>35</v>
      </c>
      <c r="J2" s="99" t="s">
        <v>34</v>
      </c>
      <c r="K2" s="99" t="s">
        <v>33</v>
      </c>
      <c r="L2" s="99" t="s">
        <v>32</v>
      </c>
      <c r="M2" s="99" t="s">
        <v>31</v>
      </c>
      <c r="N2" s="99" t="s">
        <v>30</v>
      </c>
      <c r="O2" s="98" t="s">
        <v>29</v>
      </c>
      <c r="P2" s="97" t="s">
        <v>124</v>
      </c>
    </row>
    <row r="3" spans="2:23" ht="15">
      <c r="B3" s="95" t="s">
        <v>101</v>
      </c>
      <c r="C3" s="94" t="s">
        <v>123</v>
      </c>
      <c r="D3" s="92">
        <v>0</v>
      </c>
      <c r="E3" s="92">
        <v>30</v>
      </c>
      <c r="F3" s="92">
        <v>60</v>
      </c>
      <c r="G3" s="92">
        <v>0</v>
      </c>
      <c r="H3" s="92">
        <v>24.7</v>
      </c>
      <c r="I3" s="92">
        <v>0</v>
      </c>
      <c r="J3" s="93">
        <f>1/8</f>
        <v>0.125</v>
      </c>
      <c r="K3" s="93">
        <f>1/2</f>
        <v>0.5</v>
      </c>
      <c r="L3" s="92" t="s">
        <v>25</v>
      </c>
      <c r="M3" s="92" t="s">
        <v>25</v>
      </c>
      <c r="N3" s="92">
        <v>3</v>
      </c>
      <c r="O3" s="91">
        <v>3.5</v>
      </c>
      <c r="P3" s="58" t="s">
        <v>122</v>
      </c>
      <c r="Q3" s="58"/>
      <c r="R3" s="58"/>
      <c r="S3" s="58"/>
      <c r="T3" s="58"/>
      <c r="U3" s="58"/>
      <c r="V3" s="58"/>
      <c r="W3" s="57"/>
    </row>
    <row r="4" spans="2:23" ht="15">
      <c r="B4" s="73" t="s">
        <v>101</v>
      </c>
      <c r="C4" s="72" t="s">
        <v>121</v>
      </c>
      <c r="D4" s="70">
        <f aca="true" t="shared" si="0" ref="D4:D17">D3+200</f>
        <v>200</v>
      </c>
      <c r="E4" s="70">
        <v>130</v>
      </c>
      <c r="F4" s="70">
        <v>30</v>
      </c>
      <c r="G4" s="70">
        <v>1</v>
      </c>
      <c r="H4" s="70">
        <v>24.2</v>
      </c>
      <c r="I4" s="70">
        <v>0</v>
      </c>
      <c r="J4" s="90">
        <f>1/8</f>
        <v>0.125</v>
      </c>
      <c r="K4" s="90">
        <f>1/2</f>
        <v>0.5</v>
      </c>
      <c r="L4" s="70">
        <v>3</v>
      </c>
      <c r="M4" s="70">
        <v>3</v>
      </c>
      <c r="N4" s="70" t="s">
        <v>25</v>
      </c>
      <c r="O4" s="69">
        <v>3</v>
      </c>
      <c r="P4" s="58" t="s">
        <v>120</v>
      </c>
      <c r="Q4" s="58"/>
      <c r="R4" s="58"/>
      <c r="S4" s="58"/>
      <c r="T4" s="58"/>
      <c r="U4" s="58"/>
      <c r="V4" s="58"/>
      <c r="W4" s="57"/>
    </row>
    <row r="5" spans="2:23" ht="15">
      <c r="B5" s="73" t="s">
        <v>101</v>
      </c>
      <c r="C5" s="72" t="s">
        <v>119</v>
      </c>
      <c r="D5" s="70">
        <f t="shared" si="0"/>
        <v>400</v>
      </c>
      <c r="E5" s="70">
        <v>100</v>
      </c>
      <c r="F5" s="70">
        <v>55</v>
      </c>
      <c r="G5" s="70">
        <v>30</v>
      </c>
      <c r="H5" s="70">
        <v>24.6</v>
      </c>
      <c r="I5" s="70">
        <v>0</v>
      </c>
      <c r="J5" s="71">
        <f>1/4</f>
        <v>0.25</v>
      </c>
      <c r="K5" s="71">
        <f>1/8</f>
        <v>0.125</v>
      </c>
      <c r="L5" s="70">
        <v>3</v>
      </c>
      <c r="M5" s="70">
        <v>3</v>
      </c>
      <c r="N5" s="70" t="s">
        <v>25</v>
      </c>
      <c r="O5" s="69">
        <v>2.5</v>
      </c>
      <c r="P5" s="58" t="s">
        <v>118</v>
      </c>
      <c r="Q5" s="58"/>
      <c r="R5" s="58"/>
      <c r="S5" s="58"/>
      <c r="T5" s="58"/>
      <c r="U5" s="58"/>
      <c r="V5" s="58"/>
      <c r="W5" s="57"/>
    </row>
    <row r="6" spans="2:23" ht="15">
      <c r="B6" s="73" t="s">
        <v>101</v>
      </c>
      <c r="C6" s="72" t="s">
        <v>117</v>
      </c>
      <c r="D6" s="70">
        <f t="shared" si="0"/>
        <v>600</v>
      </c>
      <c r="E6" s="70">
        <v>75</v>
      </c>
      <c r="F6" s="70">
        <v>50</v>
      </c>
      <c r="G6" s="70">
        <v>15</v>
      </c>
      <c r="H6" s="70">
        <v>24.3</v>
      </c>
      <c r="I6" s="70">
        <v>0</v>
      </c>
      <c r="J6" s="71">
        <f>1/8</f>
        <v>0.125</v>
      </c>
      <c r="K6" s="71">
        <f>0.5</f>
        <v>0.5</v>
      </c>
      <c r="L6" s="70">
        <v>4</v>
      </c>
      <c r="M6" s="70">
        <v>5</v>
      </c>
      <c r="N6" s="70" t="s">
        <v>25</v>
      </c>
      <c r="O6" s="69">
        <v>3</v>
      </c>
      <c r="P6" s="58"/>
      <c r="Q6" s="58"/>
      <c r="R6" s="58"/>
      <c r="S6" s="58"/>
      <c r="T6" s="58"/>
      <c r="U6" s="58"/>
      <c r="V6" s="58"/>
      <c r="W6" s="57"/>
    </row>
    <row r="7" spans="2:23" ht="15">
      <c r="B7" s="73" t="s">
        <v>101</v>
      </c>
      <c r="C7" s="72" t="s">
        <v>116</v>
      </c>
      <c r="D7" s="70">
        <f t="shared" si="0"/>
        <v>800</v>
      </c>
      <c r="E7" s="70">
        <v>70</v>
      </c>
      <c r="F7" s="70">
        <v>50</v>
      </c>
      <c r="G7" s="70">
        <v>0</v>
      </c>
      <c r="H7" s="70">
        <v>24.2</v>
      </c>
      <c r="I7" s="70">
        <v>0</v>
      </c>
      <c r="J7" s="71">
        <v>0.25</v>
      </c>
      <c r="K7" s="71">
        <v>0.75</v>
      </c>
      <c r="L7" s="70">
        <v>2</v>
      </c>
      <c r="M7" s="70">
        <v>2</v>
      </c>
      <c r="N7" s="70" t="s">
        <v>25</v>
      </c>
      <c r="O7" s="69">
        <v>3</v>
      </c>
      <c r="P7" s="58" t="s">
        <v>115</v>
      </c>
      <c r="Q7" s="58"/>
      <c r="R7" s="58"/>
      <c r="S7" s="58"/>
      <c r="T7" s="58"/>
      <c r="U7" s="58"/>
      <c r="V7" s="58"/>
      <c r="W7" s="57"/>
    </row>
    <row r="8" spans="2:23" ht="15">
      <c r="B8" s="86" t="s">
        <v>101</v>
      </c>
      <c r="C8" s="85" t="s">
        <v>114</v>
      </c>
      <c r="D8" s="83">
        <f t="shared" si="0"/>
        <v>1000</v>
      </c>
      <c r="E8" s="83">
        <v>125</v>
      </c>
      <c r="F8" s="83">
        <v>80</v>
      </c>
      <c r="G8" s="83">
        <v>0</v>
      </c>
      <c r="H8" s="83">
        <v>24.1</v>
      </c>
      <c r="I8" s="83">
        <v>2</v>
      </c>
      <c r="J8" s="84">
        <v>0.75</v>
      </c>
      <c r="K8" s="84">
        <v>0</v>
      </c>
      <c r="L8" s="83" t="s">
        <v>25</v>
      </c>
      <c r="M8" s="83" t="s">
        <v>25</v>
      </c>
      <c r="N8" s="83">
        <v>3</v>
      </c>
      <c r="O8" s="82">
        <v>3</v>
      </c>
      <c r="P8" s="58" t="s">
        <v>107</v>
      </c>
      <c r="Q8" s="58"/>
      <c r="R8" s="58"/>
      <c r="S8" s="58"/>
      <c r="T8" s="58"/>
      <c r="U8" s="58"/>
      <c r="V8" s="58"/>
      <c r="W8" s="57"/>
    </row>
    <row r="9" spans="2:23" ht="15">
      <c r="B9" s="86" t="s">
        <v>101</v>
      </c>
      <c r="C9" s="85" t="s">
        <v>113</v>
      </c>
      <c r="D9" s="83">
        <f t="shared" si="0"/>
        <v>1200</v>
      </c>
      <c r="E9" s="83">
        <v>103</v>
      </c>
      <c r="F9" s="83">
        <v>108</v>
      </c>
      <c r="G9" s="83">
        <v>0</v>
      </c>
      <c r="H9" s="83">
        <v>24.1</v>
      </c>
      <c r="I9" s="83">
        <v>1</v>
      </c>
      <c r="J9" s="84">
        <v>0.5</v>
      </c>
      <c r="K9" s="84">
        <v>0.5</v>
      </c>
      <c r="L9" s="83">
        <v>3</v>
      </c>
      <c r="M9" s="83">
        <v>3</v>
      </c>
      <c r="N9" s="83">
        <v>2.5</v>
      </c>
      <c r="O9" s="82">
        <v>2.5</v>
      </c>
      <c r="P9" s="58" t="s">
        <v>112</v>
      </c>
      <c r="Q9" s="58"/>
      <c r="R9" s="58"/>
      <c r="S9" s="58"/>
      <c r="T9" s="58"/>
      <c r="U9" s="58"/>
      <c r="V9" s="58"/>
      <c r="W9" s="57"/>
    </row>
    <row r="10" spans="2:23" ht="15">
      <c r="B10" s="73" t="s">
        <v>101</v>
      </c>
      <c r="C10" s="72" t="s">
        <v>111</v>
      </c>
      <c r="D10" s="70">
        <f t="shared" si="0"/>
        <v>1400</v>
      </c>
      <c r="E10" s="70">
        <v>100</v>
      </c>
      <c r="F10" s="70">
        <v>90</v>
      </c>
      <c r="G10" s="70">
        <v>0</v>
      </c>
      <c r="H10" s="70">
        <v>24.3</v>
      </c>
      <c r="I10" s="70">
        <v>1</v>
      </c>
      <c r="J10" s="71">
        <v>0.5</v>
      </c>
      <c r="K10" s="71">
        <v>0</v>
      </c>
      <c r="L10" s="70">
        <v>3</v>
      </c>
      <c r="M10" s="70">
        <v>4</v>
      </c>
      <c r="N10" s="70" t="s">
        <v>25</v>
      </c>
      <c r="O10" s="69">
        <v>3.5</v>
      </c>
      <c r="P10" s="58"/>
      <c r="Q10" s="58"/>
      <c r="R10" s="58"/>
      <c r="S10" s="58"/>
      <c r="T10" s="58"/>
      <c r="U10" s="58"/>
      <c r="V10" s="58"/>
      <c r="W10" s="57"/>
    </row>
    <row r="11" spans="2:23" ht="15">
      <c r="B11" s="73" t="s">
        <v>101</v>
      </c>
      <c r="C11" s="72" t="s">
        <v>110</v>
      </c>
      <c r="D11" s="70">
        <f t="shared" si="0"/>
        <v>1600</v>
      </c>
      <c r="E11" s="70">
        <v>125</v>
      </c>
      <c r="F11" s="70">
        <v>60</v>
      </c>
      <c r="G11" s="70">
        <v>0</v>
      </c>
      <c r="H11" s="70">
        <v>24</v>
      </c>
      <c r="I11" s="70">
        <v>0</v>
      </c>
      <c r="J11" s="71">
        <v>0.75</v>
      </c>
      <c r="K11" s="71">
        <v>0</v>
      </c>
      <c r="L11" s="70" t="s">
        <v>25</v>
      </c>
      <c r="M11" s="70" t="s">
        <v>25</v>
      </c>
      <c r="N11" s="70" t="s">
        <v>25</v>
      </c>
      <c r="O11" s="69">
        <v>2.5</v>
      </c>
      <c r="P11" s="58"/>
      <c r="Q11" s="58"/>
      <c r="R11" s="58"/>
      <c r="S11" s="58"/>
      <c r="T11" s="58"/>
      <c r="U11" s="58"/>
      <c r="V11" s="58"/>
      <c r="W11" s="57"/>
    </row>
    <row r="12" spans="2:23" ht="15">
      <c r="B12" s="73" t="s">
        <v>101</v>
      </c>
      <c r="C12" s="72" t="s">
        <v>109</v>
      </c>
      <c r="D12" s="70">
        <f t="shared" si="0"/>
        <v>1800</v>
      </c>
      <c r="E12" s="70">
        <v>75</v>
      </c>
      <c r="F12" s="70">
        <v>10</v>
      </c>
      <c r="G12" s="70">
        <v>0</v>
      </c>
      <c r="H12" s="70">
        <v>24</v>
      </c>
      <c r="I12" s="70">
        <v>1</v>
      </c>
      <c r="J12" s="71">
        <v>0.25</v>
      </c>
      <c r="K12" s="71">
        <v>0.125</v>
      </c>
      <c r="L12" s="70">
        <v>3</v>
      </c>
      <c r="M12" s="70">
        <v>5</v>
      </c>
      <c r="N12" s="70" t="s">
        <v>25</v>
      </c>
      <c r="O12" s="69">
        <v>4</v>
      </c>
      <c r="P12" s="58"/>
      <c r="Q12" s="58"/>
      <c r="R12" s="58"/>
      <c r="S12" s="58"/>
      <c r="T12" s="58"/>
      <c r="U12" s="58"/>
      <c r="V12" s="58"/>
      <c r="W12" s="57"/>
    </row>
    <row r="13" spans="2:23" ht="15">
      <c r="B13" s="86" t="s">
        <v>101</v>
      </c>
      <c r="C13" s="85" t="s">
        <v>108</v>
      </c>
      <c r="D13" s="83">
        <f t="shared" si="0"/>
        <v>2000</v>
      </c>
      <c r="E13" s="83">
        <v>144</v>
      </c>
      <c r="F13" s="83">
        <v>80</v>
      </c>
      <c r="G13" s="83">
        <v>0</v>
      </c>
      <c r="H13" s="83">
        <v>24.4</v>
      </c>
      <c r="I13" s="83">
        <v>0</v>
      </c>
      <c r="J13" s="84">
        <v>0.25</v>
      </c>
      <c r="K13" s="84">
        <v>0.125</v>
      </c>
      <c r="L13" s="83">
        <v>3</v>
      </c>
      <c r="M13" s="83">
        <v>4</v>
      </c>
      <c r="N13" s="83">
        <v>3.5</v>
      </c>
      <c r="O13" s="82">
        <v>3.5</v>
      </c>
      <c r="P13" s="58" t="s">
        <v>107</v>
      </c>
      <c r="Q13" s="58"/>
      <c r="R13" s="58"/>
      <c r="S13" s="58"/>
      <c r="T13" s="58"/>
      <c r="U13" s="58"/>
      <c r="V13" s="58"/>
      <c r="W13" s="57"/>
    </row>
    <row r="14" spans="2:23" ht="15">
      <c r="B14" s="73" t="s">
        <v>101</v>
      </c>
      <c r="C14" s="72" t="s">
        <v>106</v>
      </c>
      <c r="D14" s="70">
        <f t="shared" si="0"/>
        <v>2200</v>
      </c>
      <c r="E14" s="70">
        <v>125</v>
      </c>
      <c r="F14" s="70">
        <v>0</v>
      </c>
      <c r="G14" s="70">
        <v>0</v>
      </c>
      <c r="H14" s="70">
        <v>24.1</v>
      </c>
      <c r="I14" s="70">
        <v>2</v>
      </c>
      <c r="J14" s="71">
        <v>0.25</v>
      </c>
      <c r="K14" s="71">
        <v>0.25</v>
      </c>
      <c r="L14" s="70" t="s">
        <v>25</v>
      </c>
      <c r="M14" s="70" t="s">
        <v>25</v>
      </c>
      <c r="N14" s="70" t="s">
        <v>25</v>
      </c>
      <c r="O14" s="69">
        <v>4.5</v>
      </c>
      <c r="P14" s="58"/>
      <c r="Q14" s="58"/>
      <c r="R14" s="58"/>
      <c r="S14" s="58"/>
      <c r="T14" s="58"/>
      <c r="U14" s="58"/>
      <c r="V14" s="58"/>
      <c r="W14" s="57"/>
    </row>
    <row r="15" spans="2:23" ht="15">
      <c r="B15" s="73" t="s">
        <v>101</v>
      </c>
      <c r="C15" s="72" t="s">
        <v>105</v>
      </c>
      <c r="D15" s="70">
        <f t="shared" si="0"/>
        <v>2400</v>
      </c>
      <c r="E15" s="70">
        <v>105</v>
      </c>
      <c r="F15" s="70">
        <v>29</v>
      </c>
      <c r="G15" s="70">
        <v>0</v>
      </c>
      <c r="H15" s="70">
        <v>23.1</v>
      </c>
      <c r="I15" s="70">
        <v>2</v>
      </c>
      <c r="J15" s="71">
        <v>0</v>
      </c>
      <c r="K15" s="71">
        <v>0.125</v>
      </c>
      <c r="L15" s="70">
        <v>3</v>
      </c>
      <c r="M15" s="70">
        <v>4</v>
      </c>
      <c r="N15" s="70" t="s">
        <v>25</v>
      </c>
      <c r="O15" s="69">
        <v>4</v>
      </c>
      <c r="P15" s="58" t="s">
        <v>104</v>
      </c>
      <c r="Q15" s="58"/>
      <c r="R15" s="58"/>
      <c r="S15" s="58"/>
      <c r="T15" s="58"/>
      <c r="U15" s="58"/>
      <c r="V15" s="58"/>
      <c r="W15" s="57"/>
    </row>
    <row r="16" spans="2:23" ht="15">
      <c r="B16" s="73" t="s">
        <v>101</v>
      </c>
      <c r="C16" s="72" t="s">
        <v>103</v>
      </c>
      <c r="D16" s="70">
        <f t="shared" si="0"/>
        <v>2600</v>
      </c>
      <c r="E16" s="70">
        <v>127</v>
      </c>
      <c r="F16" s="70">
        <v>0</v>
      </c>
      <c r="G16" s="70">
        <v>5</v>
      </c>
      <c r="H16" s="70">
        <v>23.1</v>
      </c>
      <c r="I16" s="70">
        <v>1.5</v>
      </c>
      <c r="J16" s="71">
        <v>0.125</v>
      </c>
      <c r="K16" s="71">
        <v>0.5</v>
      </c>
      <c r="L16" s="70">
        <v>4.5</v>
      </c>
      <c r="M16" s="70">
        <v>4.5</v>
      </c>
      <c r="N16" s="70" t="s">
        <v>25</v>
      </c>
      <c r="O16" s="69">
        <v>4</v>
      </c>
      <c r="P16" s="58" t="s">
        <v>102</v>
      </c>
      <c r="Q16" s="58"/>
      <c r="R16" s="58"/>
      <c r="S16" s="58"/>
      <c r="T16" s="58"/>
      <c r="U16" s="58"/>
      <c r="V16" s="58"/>
      <c r="W16" s="57"/>
    </row>
    <row r="17" spans="2:23" ht="15">
      <c r="B17" s="73" t="s">
        <v>101</v>
      </c>
      <c r="C17" s="72" t="s">
        <v>100</v>
      </c>
      <c r="D17" s="70">
        <f t="shared" si="0"/>
        <v>2800</v>
      </c>
      <c r="E17" s="70">
        <v>100</v>
      </c>
      <c r="F17" s="70">
        <v>69</v>
      </c>
      <c r="G17" s="70">
        <v>0</v>
      </c>
      <c r="H17" s="70">
        <v>23.6</v>
      </c>
      <c r="I17" s="70">
        <v>0.5</v>
      </c>
      <c r="J17" s="71">
        <v>0</v>
      </c>
      <c r="K17" s="71">
        <v>0</v>
      </c>
      <c r="L17" s="70">
        <v>3</v>
      </c>
      <c r="M17" s="70">
        <v>4</v>
      </c>
      <c r="N17" s="70" t="s">
        <v>25</v>
      </c>
      <c r="O17" s="69">
        <v>4</v>
      </c>
      <c r="P17" s="58"/>
      <c r="Q17" s="58"/>
      <c r="R17" s="58"/>
      <c r="S17" s="58"/>
      <c r="T17" s="58"/>
      <c r="U17" s="58"/>
      <c r="V17" s="58"/>
      <c r="W17" s="57"/>
    </row>
    <row r="18" spans="2:23" ht="15">
      <c r="B18" s="68" t="s">
        <v>43</v>
      </c>
      <c r="C18" s="67" t="s">
        <v>43</v>
      </c>
      <c r="D18" s="65">
        <f>D17</f>
        <v>2800</v>
      </c>
      <c r="E18" s="65">
        <f>SUM(E3:E17)</f>
        <v>1534</v>
      </c>
      <c r="F18" s="65">
        <f>SUM(F3:F17)</f>
        <v>771</v>
      </c>
      <c r="G18" s="65">
        <f>SUM(G3:G17)</f>
        <v>51</v>
      </c>
      <c r="H18" s="65" t="s">
        <v>25</v>
      </c>
      <c r="I18" s="65">
        <f>SUM(I3:I17)</f>
        <v>11</v>
      </c>
      <c r="J18" s="66" t="s">
        <v>25</v>
      </c>
      <c r="K18" s="66" t="s">
        <v>25</v>
      </c>
      <c r="L18" s="65" t="s">
        <v>25</v>
      </c>
      <c r="M18" s="65" t="s">
        <v>25</v>
      </c>
      <c r="N18" s="65" t="s">
        <v>25</v>
      </c>
      <c r="O18" s="64" t="s">
        <v>25</v>
      </c>
      <c r="P18" s="58"/>
      <c r="Q18" s="58"/>
      <c r="R18" s="58"/>
      <c r="S18" s="58"/>
      <c r="T18" s="58"/>
      <c r="U18" s="58"/>
      <c r="V18" s="58"/>
      <c r="W18" s="57"/>
    </row>
    <row r="19" spans="2:23" ht="15">
      <c r="B19" s="68" t="s">
        <v>42</v>
      </c>
      <c r="C19" s="67" t="s">
        <v>42</v>
      </c>
      <c r="D19" s="66" t="s">
        <v>25</v>
      </c>
      <c r="E19" s="65"/>
      <c r="F19" s="65" t="s">
        <v>25</v>
      </c>
      <c r="G19" s="65" t="s">
        <v>25</v>
      </c>
      <c r="H19" s="65">
        <f>AVERAGE(H3:H17)</f>
        <v>24.053333333333338</v>
      </c>
      <c r="I19" s="65" t="s">
        <v>25</v>
      </c>
      <c r="J19" s="66">
        <f aca="true" t="shared" si="1" ref="J19:O19">AVERAGE(J3:J17)</f>
        <v>0.2833333333333333</v>
      </c>
      <c r="K19" s="66">
        <f t="shared" si="1"/>
        <v>0.26666666666666666</v>
      </c>
      <c r="L19" s="65">
        <f t="shared" si="1"/>
        <v>3.1363636363636362</v>
      </c>
      <c r="M19" s="65">
        <f t="shared" si="1"/>
        <v>3.772727272727273</v>
      </c>
      <c r="N19" s="65">
        <f t="shared" si="1"/>
        <v>3</v>
      </c>
      <c r="O19" s="89">
        <f t="shared" si="1"/>
        <v>3.3666666666666667</v>
      </c>
      <c r="P19" s="58"/>
      <c r="Q19" s="58"/>
      <c r="R19" s="58"/>
      <c r="S19" s="58"/>
      <c r="T19" s="58"/>
      <c r="U19" s="58"/>
      <c r="V19" s="58"/>
      <c r="W19" s="57"/>
    </row>
    <row r="20" spans="2:23" ht="15">
      <c r="B20" s="79"/>
      <c r="C20" s="78"/>
      <c r="D20" s="78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  <c r="P20" s="58"/>
      <c r="Q20" s="58"/>
      <c r="R20" s="58"/>
      <c r="S20" s="58"/>
      <c r="T20" s="58"/>
      <c r="U20" s="58"/>
      <c r="V20" s="58"/>
      <c r="W20" s="57"/>
    </row>
    <row r="21" spans="2:23" ht="15">
      <c r="B21" s="73" t="s">
        <v>97</v>
      </c>
      <c r="C21" s="72" t="s">
        <v>99</v>
      </c>
      <c r="D21" s="70">
        <v>0</v>
      </c>
      <c r="E21" s="70">
        <f aca="true" t="shared" si="2" ref="E21:O21">E8</f>
        <v>125</v>
      </c>
      <c r="F21" s="70">
        <f t="shared" si="2"/>
        <v>80</v>
      </c>
      <c r="G21" s="70">
        <f t="shared" si="2"/>
        <v>0</v>
      </c>
      <c r="H21" s="70">
        <f t="shared" si="2"/>
        <v>24.1</v>
      </c>
      <c r="I21" s="70">
        <f t="shared" si="2"/>
        <v>2</v>
      </c>
      <c r="J21" s="71">
        <f t="shared" si="2"/>
        <v>0.75</v>
      </c>
      <c r="K21" s="71">
        <f t="shared" si="2"/>
        <v>0</v>
      </c>
      <c r="L21" s="70" t="str">
        <f t="shared" si="2"/>
        <v>-</v>
      </c>
      <c r="M21" s="70" t="str">
        <f t="shared" si="2"/>
        <v>-</v>
      </c>
      <c r="N21" s="70">
        <f t="shared" si="2"/>
        <v>3</v>
      </c>
      <c r="O21" s="69">
        <f t="shared" si="2"/>
        <v>3</v>
      </c>
      <c r="P21" s="58"/>
      <c r="Q21" s="58"/>
      <c r="R21" s="58"/>
      <c r="S21" s="58"/>
      <c r="T21" s="58"/>
      <c r="U21" s="58"/>
      <c r="V21" s="58"/>
      <c r="W21" s="57"/>
    </row>
    <row r="22" spans="2:23" ht="15">
      <c r="B22" s="73" t="s">
        <v>97</v>
      </c>
      <c r="C22" s="72" t="s">
        <v>98</v>
      </c>
      <c r="D22" s="70">
        <f>D21+200</f>
        <v>200</v>
      </c>
      <c r="E22" s="70">
        <v>80</v>
      </c>
      <c r="F22" s="70">
        <v>40</v>
      </c>
      <c r="G22" s="70" t="s">
        <v>25</v>
      </c>
      <c r="H22" s="70">
        <v>24.2</v>
      </c>
      <c r="I22" s="70">
        <v>1</v>
      </c>
      <c r="J22" s="71">
        <f>1/8</f>
        <v>0.125</v>
      </c>
      <c r="K22" s="71">
        <f>1/8</f>
        <v>0.125</v>
      </c>
      <c r="L22" s="70">
        <v>3</v>
      </c>
      <c r="M22" s="70">
        <v>4</v>
      </c>
      <c r="N22" s="70" t="s">
        <v>25</v>
      </c>
      <c r="O22" s="69">
        <v>4</v>
      </c>
      <c r="P22" s="58"/>
      <c r="Q22" s="58"/>
      <c r="R22" s="58"/>
      <c r="S22" s="58"/>
      <c r="T22" s="58"/>
      <c r="U22" s="58"/>
      <c r="V22" s="58"/>
      <c r="W22" s="57"/>
    </row>
    <row r="23" spans="2:23" ht="15">
      <c r="B23" s="73" t="s">
        <v>97</v>
      </c>
      <c r="C23" s="72" t="s">
        <v>96</v>
      </c>
      <c r="D23" s="70">
        <f>D22+200</f>
        <v>400</v>
      </c>
      <c r="E23" s="70" t="s">
        <v>25</v>
      </c>
      <c r="F23" s="70">
        <v>300</v>
      </c>
      <c r="G23" s="70">
        <v>20</v>
      </c>
      <c r="H23" s="70" t="s">
        <v>25</v>
      </c>
      <c r="I23" s="70">
        <v>0</v>
      </c>
      <c r="J23" s="71">
        <v>0.5</v>
      </c>
      <c r="K23" s="71">
        <v>0.5</v>
      </c>
      <c r="L23" s="70">
        <v>3</v>
      </c>
      <c r="M23" s="70" t="s">
        <v>25</v>
      </c>
      <c r="N23" s="70" t="s">
        <v>25</v>
      </c>
      <c r="O23" s="69">
        <v>2.5</v>
      </c>
      <c r="P23" s="58"/>
      <c r="Q23" s="58"/>
      <c r="R23" s="58"/>
      <c r="S23" s="58"/>
      <c r="T23" s="58"/>
      <c r="U23" s="58"/>
      <c r="V23" s="58"/>
      <c r="W23" s="57"/>
    </row>
    <row r="24" spans="2:23" ht="15">
      <c r="B24" s="68" t="s">
        <v>43</v>
      </c>
      <c r="C24" s="67" t="s">
        <v>43</v>
      </c>
      <c r="D24" s="65">
        <f>D23</f>
        <v>400</v>
      </c>
      <c r="E24" s="65">
        <f>SUM(E21:E23)</f>
        <v>205</v>
      </c>
      <c r="F24" s="65">
        <f>SUM(F21:F23)</f>
        <v>420</v>
      </c>
      <c r="G24" s="65">
        <f>SUM(G21:G23)</f>
        <v>20</v>
      </c>
      <c r="H24" s="65" t="s">
        <v>25</v>
      </c>
      <c r="I24" s="65">
        <f>SUM(I21:I23)</f>
        <v>3</v>
      </c>
      <c r="J24" s="66" t="s">
        <v>25</v>
      </c>
      <c r="K24" s="66" t="s">
        <v>25</v>
      </c>
      <c r="L24" s="65" t="s">
        <v>25</v>
      </c>
      <c r="M24" s="65" t="s">
        <v>25</v>
      </c>
      <c r="N24" s="65" t="s">
        <v>25</v>
      </c>
      <c r="O24" s="64" t="s">
        <v>25</v>
      </c>
      <c r="P24" s="58"/>
      <c r="Q24" s="58"/>
      <c r="R24" s="58"/>
      <c r="S24" s="58"/>
      <c r="T24" s="58"/>
      <c r="U24" s="58"/>
      <c r="V24" s="58"/>
      <c r="W24" s="57"/>
    </row>
    <row r="25" spans="2:23" ht="15">
      <c r="B25" s="68" t="s">
        <v>42</v>
      </c>
      <c r="C25" s="67" t="s">
        <v>42</v>
      </c>
      <c r="D25" s="65" t="s">
        <v>25</v>
      </c>
      <c r="E25" s="65" t="s">
        <v>25</v>
      </c>
      <c r="F25" s="65" t="s">
        <v>25</v>
      </c>
      <c r="G25" s="65" t="s">
        <v>25</v>
      </c>
      <c r="H25" s="65">
        <f>AVERAGE(H21:H23)</f>
        <v>24.15</v>
      </c>
      <c r="I25" s="65" t="s">
        <v>25</v>
      </c>
      <c r="J25" s="66">
        <f aca="true" t="shared" si="3" ref="J25:O25">AVERAGE(J21:J23)</f>
        <v>0.4583333333333333</v>
      </c>
      <c r="K25" s="66">
        <f t="shared" si="3"/>
        <v>0.20833333333333334</v>
      </c>
      <c r="L25" s="65">
        <f t="shared" si="3"/>
        <v>3</v>
      </c>
      <c r="M25" s="65">
        <f t="shared" si="3"/>
        <v>4</v>
      </c>
      <c r="N25" s="65">
        <f t="shared" si="3"/>
        <v>3</v>
      </c>
      <c r="O25" s="80">
        <f t="shared" si="3"/>
        <v>3.1666666666666665</v>
      </c>
      <c r="P25" s="58"/>
      <c r="Q25" s="58"/>
      <c r="R25" s="58"/>
      <c r="S25" s="58"/>
      <c r="T25" s="58"/>
      <c r="U25" s="58"/>
      <c r="V25" s="58"/>
      <c r="W25" s="57"/>
    </row>
    <row r="26" spans="2:23" ht="15">
      <c r="B26" s="79"/>
      <c r="C26" s="78"/>
      <c r="D26" s="78"/>
      <c r="E26" s="87"/>
      <c r="F26" s="87"/>
      <c r="G26" s="87"/>
      <c r="H26" s="87"/>
      <c r="I26" s="87"/>
      <c r="J26" s="76"/>
      <c r="K26" s="76"/>
      <c r="L26" s="75"/>
      <c r="M26" s="75"/>
      <c r="N26" s="75"/>
      <c r="O26" s="74"/>
      <c r="P26" s="58"/>
      <c r="Q26" s="58"/>
      <c r="R26" s="58"/>
      <c r="S26" s="58"/>
      <c r="T26" s="58"/>
      <c r="U26" s="58"/>
      <c r="V26" s="58"/>
      <c r="W26" s="57"/>
    </row>
    <row r="27" spans="2:23" ht="15">
      <c r="B27" s="73" t="s">
        <v>68</v>
      </c>
      <c r="C27" s="72" t="s">
        <v>95</v>
      </c>
      <c r="D27" s="70">
        <v>0</v>
      </c>
      <c r="E27" s="70">
        <v>105</v>
      </c>
      <c r="F27" s="70">
        <v>60</v>
      </c>
      <c r="G27" s="70">
        <v>0</v>
      </c>
      <c r="H27" s="70">
        <v>24.4</v>
      </c>
      <c r="I27" s="70">
        <v>1</v>
      </c>
      <c r="J27" s="71">
        <v>0.25</v>
      </c>
      <c r="K27" s="71">
        <v>0</v>
      </c>
      <c r="L27" s="70" t="s">
        <v>25</v>
      </c>
      <c r="M27" s="70" t="s">
        <v>25</v>
      </c>
      <c r="N27" s="70">
        <v>3</v>
      </c>
      <c r="O27" s="69">
        <v>3.5</v>
      </c>
      <c r="P27" s="58"/>
      <c r="Q27" s="58"/>
      <c r="R27" s="58"/>
      <c r="S27" s="58"/>
      <c r="T27" s="58"/>
      <c r="U27" s="58"/>
      <c r="V27" s="58"/>
      <c r="W27" s="57"/>
    </row>
    <row r="28" spans="2:23" ht="15">
      <c r="B28" s="73" t="s">
        <v>68</v>
      </c>
      <c r="C28" s="72" t="s">
        <v>94</v>
      </c>
      <c r="D28" s="70">
        <f aca="true" t="shared" si="4" ref="D28:D45">200+D27</f>
        <v>200</v>
      </c>
      <c r="E28" s="70">
        <v>30</v>
      </c>
      <c r="F28" s="70">
        <v>20</v>
      </c>
      <c r="G28" s="70">
        <v>23</v>
      </c>
      <c r="H28" s="70">
        <v>24</v>
      </c>
      <c r="I28" s="70">
        <v>1</v>
      </c>
      <c r="J28" s="71">
        <v>0.25</v>
      </c>
      <c r="K28" s="71">
        <v>0.25</v>
      </c>
      <c r="L28" s="70" t="s">
        <v>25</v>
      </c>
      <c r="M28" s="70" t="s">
        <v>25</v>
      </c>
      <c r="N28" s="70" t="s">
        <v>25</v>
      </c>
      <c r="O28" s="69">
        <v>3.5</v>
      </c>
      <c r="P28" s="58"/>
      <c r="Q28" s="58"/>
      <c r="R28" s="58"/>
      <c r="S28" s="58"/>
      <c r="T28" s="58"/>
      <c r="U28" s="58"/>
      <c r="V28" s="58"/>
      <c r="W28" s="57"/>
    </row>
    <row r="29" spans="2:23" ht="15">
      <c r="B29" s="73" t="s">
        <v>68</v>
      </c>
      <c r="C29" s="72" t="s">
        <v>93</v>
      </c>
      <c r="D29" s="70">
        <f t="shared" si="4"/>
        <v>400</v>
      </c>
      <c r="E29" s="70">
        <v>96</v>
      </c>
      <c r="F29" s="70">
        <v>20</v>
      </c>
      <c r="G29" s="70">
        <v>10</v>
      </c>
      <c r="H29" s="70">
        <v>24.1</v>
      </c>
      <c r="I29" s="70">
        <v>1</v>
      </c>
      <c r="J29" s="71">
        <v>0.125</v>
      </c>
      <c r="K29" s="71">
        <v>0.75</v>
      </c>
      <c r="L29" s="70" t="s">
        <v>25</v>
      </c>
      <c r="M29" s="70" t="s">
        <v>25</v>
      </c>
      <c r="N29" s="70" t="s">
        <v>25</v>
      </c>
      <c r="O29" s="69">
        <v>3</v>
      </c>
      <c r="P29" s="58"/>
      <c r="Q29" s="58"/>
      <c r="R29" s="58"/>
      <c r="S29" s="58"/>
      <c r="T29" s="58"/>
      <c r="U29" s="58"/>
      <c r="V29" s="58"/>
      <c r="W29" s="57"/>
    </row>
    <row r="30" spans="2:23" ht="15">
      <c r="B30" s="73" t="s">
        <v>68</v>
      </c>
      <c r="C30" s="72" t="s">
        <v>92</v>
      </c>
      <c r="D30" s="70">
        <f t="shared" si="4"/>
        <v>600</v>
      </c>
      <c r="E30" s="70">
        <v>80</v>
      </c>
      <c r="F30" s="70">
        <v>20</v>
      </c>
      <c r="G30" s="70">
        <v>0</v>
      </c>
      <c r="H30" s="70">
        <v>24.1</v>
      </c>
      <c r="I30" s="70">
        <v>2</v>
      </c>
      <c r="J30" s="71">
        <v>0.25</v>
      </c>
      <c r="K30" s="71">
        <v>0.125</v>
      </c>
      <c r="L30" s="70" t="s">
        <v>25</v>
      </c>
      <c r="M30" s="70" t="s">
        <v>25</v>
      </c>
      <c r="N30" s="70" t="s">
        <v>25</v>
      </c>
      <c r="O30" s="69">
        <v>2.5</v>
      </c>
      <c r="P30" s="58" t="s">
        <v>91</v>
      </c>
      <c r="Q30" s="58"/>
      <c r="R30" s="58"/>
      <c r="S30" s="58"/>
      <c r="T30" s="58"/>
      <c r="U30" s="58"/>
      <c r="V30" s="58"/>
      <c r="W30" s="57"/>
    </row>
    <row r="31" spans="2:23" ht="15">
      <c r="B31" s="73" t="s">
        <v>68</v>
      </c>
      <c r="C31" s="72" t="s">
        <v>90</v>
      </c>
      <c r="D31" s="70">
        <f t="shared" si="4"/>
        <v>800</v>
      </c>
      <c r="E31" s="70">
        <v>80</v>
      </c>
      <c r="F31" s="70">
        <v>25</v>
      </c>
      <c r="G31" s="70">
        <v>20</v>
      </c>
      <c r="H31" s="70">
        <v>24.3</v>
      </c>
      <c r="I31" s="70">
        <v>1</v>
      </c>
      <c r="J31" s="71">
        <v>0</v>
      </c>
      <c r="K31" s="71">
        <v>0.125</v>
      </c>
      <c r="L31" s="70">
        <v>3</v>
      </c>
      <c r="M31" s="70">
        <v>4</v>
      </c>
      <c r="N31" s="70" t="s">
        <v>25</v>
      </c>
      <c r="O31" s="69">
        <v>4</v>
      </c>
      <c r="P31" s="58"/>
      <c r="Q31" s="58"/>
      <c r="R31" s="58"/>
      <c r="S31" s="58"/>
      <c r="T31" s="58"/>
      <c r="U31" s="58"/>
      <c r="V31" s="58"/>
      <c r="W31" s="57"/>
    </row>
    <row r="32" spans="2:23" ht="15">
      <c r="B32" s="73" t="s">
        <v>68</v>
      </c>
      <c r="C32" s="72" t="s">
        <v>89</v>
      </c>
      <c r="D32" s="70">
        <f t="shared" si="4"/>
        <v>1000</v>
      </c>
      <c r="E32" s="70">
        <v>125</v>
      </c>
      <c r="F32" s="70">
        <v>50</v>
      </c>
      <c r="G32" s="70">
        <v>0</v>
      </c>
      <c r="H32" s="70">
        <v>24.1</v>
      </c>
      <c r="I32" s="70">
        <v>3</v>
      </c>
      <c r="J32" s="71">
        <v>0.5</v>
      </c>
      <c r="K32" s="71">
        <v>0.5</v>
      </c>
      <c r="L32" s="70">
        <v>3</v>
      </c>
      <c r="M32" s="70">
        <v>3</v>
      </c>
      <c r="N32" s="70" t="s">
        <v>25</v>
      </c>
      <c r="O32" s="69">
        <v>2.5</v>
      </c>
      <c r="P32" s="58" t="s">
        <v>83</v>
      </c>
      <c r="Q32" s="58"/>
      <c r="R32" s="58"/>
      <c r="S32" s="58"/>
      <c r="T32" s="58"/>
      <c r="U32" s="58"/>
      <c r="V32" s="58"/>
      <c r="W32" s="57"/>
    </row>
    <row r="33" spans="2:23" ht="15">
      <c r="B33" s="73" t="s">
        <v>68</v>
      </c>
      <c r="C33" s="72" t="s">
        <v>88</v>
      </c>
      <c r="D33" s="70">
        <f t="shared" si="4"/>
        <v>1200</v>
      </c>
      <c r="E33" s="70">
        <v>80</v>
      </c>
      <c r="F33" s="70">
        <v>26</v>
      </c>
      <c r="G33" s="70">
        <v>0</v>
      </c>
      <c r="H33" s="70">
        <v>24</v>
      </c>
      <c r="I33" s="70">
        <v>1</v>
      </c>
      <c r="J33" s="71">
        <v>0.25</v>
      </c>
      <c r="K33" s="71">
        <v>1</v>
      </c>
      <c r="L33" s="70">
        <v>3</v>
      </c>
      <c r="M33" s="70">
        <v>4</v>
      </c>
      <c r="N33" s="70" t="s">
        <v>25</v>
      </c>
      <c r="O33" s="69">
        <v>2.5</v>
      </c>
      <c r="P33" s="58"/>
      <c r="Q33" s="58"/>
      <c r="R33" s="58"/>
      <c r="S33" s="58"/>
      <c r="T33" s="58"/>
      <c r="U33" s="58"/>
      <c r="V33" s="58"/>
      <c r="W33" s="57"/>
    </row>
    <row r="34" spans="2:23" ht="15">
      <c r="B34" s="73" t="s">
        <v>68</v>
      </c>
      <c r="C34" s="72" t="s">
        <v>87</v>
      </c>
      <c r="D34" s="70">
        <f t="shared" si="4"/>
        <v>1400</v>
      </c>
      <c r="E34" s="70">
        <v>75</v>
      </c>
      <c r="F34" s="70">
        <v>60</v>
      </c>
      <c r="G34" s="70">
        <v>0</v>
      </c>
      <c r="H34" s="70">
        <v>23.9</v>
      </c>
      <c r="I34" s="70">
        <v>0</v>
      </c>
      <c r="J34" s="71">
        <v>0.25</v>
      </c>
      <c r="K34" s="71">
        <v>0.75</v>
      </c>
      <c r="L34" s="70">
        <v>3</v>
      </c>
      <c r="M34" s="70">
        <v>4</v>
      </c>
      <c r="N34" s="70" t="s">
        <v>25</v>
      </c>
      <c r="O34" s="69">
        <v>3</v>
      </c>
      <c r="P34" s="58"/>
      <c r="Q34" s="58"/>
      <c r="R34" s="58"/>
      <c r="S34" s="58"/>
      <c r="T34" s="58"/>
      <c r="U34" s="58"/>
      <c r="V34" s="58"/>
      <c r="W34" s="57"/>
    </row>
    <row r="35" spans="2:23" ht="15">
      <c r="B35" s="86" t="s">
        <v>68</v>
      </c>
      <c r="C35" s="85" t="s">
        <v>86</v>
      </c>
      <c r="D35" s="83">
        <f t="shared" si="4"/>
        <v>1600</v>
      </c>
      <c r="E35" s="83">
        <v>100</v>
      </c>
      <c r="F35" s="83">
        <v>170</v>
      </c>
      <c r="G35" s="83">
        <v>0</v>
      </c>
      <c r="H35" s="83">
        <v>23.9</v>
      </c>
      <c r="I35" s="83">
        <v>0</v>
      </c>
      <c r="J35" s="84">
        <v>0.25</v>
      </c>
      <c r="K35" s="84">
        <v>0.75</v>
      </c>
      <c r="L35" s="83">
        <v>3</v>
      </c>
      <c r="M35" s="83">
        <v>3</v>
      </c>
      <c r="N35" s="83">
        <v>2</v>
      </c>
      <c r="O35" s="82">
        <v>1.5</v>
      </c>
      <c r="P35" s="58" t="s">
        <v>85</v>
      </c>
      <c r="Q35" s="58"/>
      <c r="R35" s="58"/>
      <c r="S35" s="58"/>
      <c r="T35" s="58"/>
      <c r="U35" s="58"/>
      <c r="V35" s="58"/>
      <c r="W35" s="57"/>
    </row>
    <row r="36" spans="2:23" ht="15">
      <c r="B36" s="73" t="s">
        <v>68</v>
      </c>
      <c r="C36" s="72" t="s">
        <v>84</v>
      </c>
      <c r="D36" s="70">
        <f t="shared" si="4"/>
        <v>1800</v>
      </c>
      <c r="E36" s="70">
        <v>80</v>
      </c>
      <c r="F36" s="70">
        <v>55</v>
      </c>
      <c r="G36" s="70">
        <v>0</v>
      </c>
      <c r="H36" s="70">
        <v>24.1</v>
      </c>
      <c r="I36" s="70">
        <v>1</v>
      </c>
      <c r="J36" s="71">
        <v>0</v>
      </c>
      <c r="K36" s="71">
        <v>1</v>
      </c>
      <c r="L36" s="70">
        <v>3</v>
      </c>
      <c r="M36" s="70">
        <v>2</v>
      </c>
      <c r="N36" s="70" t="s">
        <v>25</v>
      </c>
      <c r="O36" s="69">
        <v>2</v>
      </c>
      <c r="P36" s="58" t="s">
        <v>83</v>
      </c>
      <c r="Q36" s="58"/>
      <c r="R36" s="58"/>
      <c r="S36" s="58"/>
      <c r="T36" s="58"/>
      <c r="U36" s="58"/>
      <c r="V36" s="58"/>
      <c r="W36" s="57"/>
    </row>
    <row r="37" spans="2:23" ht="15">
      <c r="B37" s="73" t="s">
        <v>68</v>
      </c>
      <c r="C37" s="72" t="s">
        <v>82</v>
      </c>
      <c r="D37" s="70">
        <f t="shared" si="4"/>
        <v>2000</v>
      </c>
      <c r="E37" s="70">
        <v>92</v>
      </c>
      <c r="F37" s="70">
        <v>120</v>
      </c>
      <c r="G37" s="70">
        <v>0</v>
      </c>
      <c r="H37" s="70">
        <v>24.1</v>
      </c>
      <c r="I37" s="70">
        <v>1</v>
      </c>
      <c r="J37" s="71">
        <v>0.25</v>
      </c>
      <c r="K37" s="71">
        <v>0.5</v>
      </c>
      <c r="L37" s="70">
        <v>2.5</v>
      </c>
      <c r="M37" s="70">
        <v>4</v>
      </c>
      <c r="N37" s="70" t="s">
        <v>25</v>
      </c>
      <c r="O37" s="69">
        <v>2.5</v>
      </c>
      <c r="P37" s="58"/>
      <c r="Q37" s="58"/>
      <c r="R37" s="58"/>
      <c r="S37" s="58"/>
      <c r="T37" s="58"/>
      <c r="U37" s="58"/>
      <c r="V37" s="58"/>
      <c r="W37" s="57"/>
    </row>
    <row r="38" spans="2:23" ht="15">
      <c r="B38" s="73" t="s">
        <v>68</v>
      </c>
      <c r="C38" s="72" t="s">
        <v>81</v>
      </c>
      <c r="D38" s="70">
        <f t="shared" si="4"/>
        <v>2200</v>
      </c>
      <c r="E38" s="70">
        <v>65</v>
      </c>
      <c r="F38" s="70">
        <v>75</v>
      </c>
      <c r="G38" s="70">
        <v>0</v>
      </c>
      <c r="H38" s="70">
        <v>24</v>
      </c>
      <c r="I38" s="70">
        <v>1</v>
      </c>
      <c r="J38" s="71">
        <v>0</v>
      </c>
      <c r="K38" s="71">
        <v>0.125</v>
      </c>
      <c r="L38" s="70" t="s">
        <v>25</v>
      </c>
      <c r="M38" s="70" t="s">
        <v>25</v>
      </c>
      <c r="N38" s="70" t="s">
        <v>25</v>
      </c>
      <c r="O38" s="69">
        <v>3</v>
      </c>
      <c r="P38" s="58"/>
      <c r="Q38" s="58"/>
      <c r="R38" s="58"/>
      <c r="S38" s="58"/>
      <c r="T38" s="58"/>
      <c r="U38" s="58"/>
      <c r="V38" s="58"/>
      <c r="W38" s="57"/>
    </row>
    <row r="39" spans="2:23" ht="15">
      <c r="B39" s="86" t="s">
        <v>68</v>
      </c>
      <c r="C39" s="85" t="s">
        <v>80</v>
      </c>
      <c r="D39" s="83">
        <f t="shared" si="4"/>
        <v>2400</v>
      </c>
      <c r="E39" s="83">
        <v>150</v>
      </c>
      <c r="F39" s="83">
        <v>150</v>
      </c>
      <c r="G39" s="83">
        <v>0</v>
      </c>
      <c r="H39" s="83">
        <v>24.2</v>
      </c>
      <c r="I39" s="83">
        <v>0</v>
      </c>
      <c r="J39" s="84">
        <v>0.125</v>
      </c>
      <c r="K39" s="84">
        <v>0.25</v>
      </c>
      <c r="L39" s="83" t="s">
        <v>25</v>
      </c>
      <c r="M39" s="83" t="s">
        <v>25</v>
      </c>
      <c r="N39" s="83">
        <v>3</v>
      </c>
      <c r="O39" s="82">
        <v>3</v>
      </c>
      <c r="P39" s="58" t="s">
        <v>79</v>
      </c>
      <c r="Q39" s="58"/>
      <c r="R39" s="58"/>
      <c r="S39" s="58"/>
      <c r="T39" s="58"/>
      <c r="U39" s="58"/>
      <c r="V39" s="58"/>
      <c r="W39" s="57"/>
    </row>
    <row r="40" spans="2:23" ht="15">
      <c r="B40" s="73" t="s">
        <v>68</v>
      </c>
      <c r="C40" s="72" t="s">
        <v>78</v>
      </c>
      <c r="D40" s="70">
        <f t="shared" si="4"/>
        <v>2600</v>
      </c>
      <c r="E40" s="70">
        <v>94</v>
      </c>
      <c r="F40" s="70">
        <v>40</v>
      </c>
      <c r="G40" s="70">
        <v>0</v>
      </c>
      <c r="H40" s="70">
        <v>24.3</v>
      </c>
      <c r="I40" s="70">
        <v>1</v>
      </c>
      <c r="J40" s="71">
        <v>0</v>
      </c>
      <c r="K40" s="71">
        <v>0.125</v>
      </c>
      <c r="L40" s="70">
        <v>3</v>
      </c>
      <c r="M40" s="70">
        <v>4</v>
      </c>
      <c r="N40" s="70" t="s">
        <v>25</v>
      </c>
      <c r="O40" s="69">
        <v>3.5</v>
      </c>
      <c r="P40" s="58"/>
      <c r="Q40" s="58"/>
      <c r="R40" s="58"/>
      <c r="S40" s="58"/>
      <c r="T40" s="58"/>
      <c r="U40" s="58"/>
      <c r="V40" s="58"/>
      <c r="W40" s="57"/>
    </row>
    <row r="41" spans="2:23" ht="15">
      <c r="B41" s="73" t="s">
        <v>68</v>
      </c>
      <c r="C41" s="72" t="s">
        <v>77</v>
      </c>
      <c r="D41" s="70">
        <f t="shared" si="4"/>
        <v>2800</v>
      </c>
      <c r="E41" s="70">
        <v>81</v>
      </c>
      <c r="F41" s="70">
        <v>60</v>
      </c>
      <c r="G41" s="70">
        <v>0</v>
      </c>
      <c r="H41" s="70">
        <v>24.1</v>
      </c>
      <c r="I41" s="70">
        <v>0</v>
      </c>
      <c r="J41" s="71">
        <v>0.25</v>
      </c>
      <c r="K41" s="71">
        <v>0.25</v>
      </c>
      <c r="L41" s="70">
        <v>3</v>
      </c>
      <c r="M41" s="70">
        <v>4</v>
      </c>
      <c r="N41" s="70" t="s">
        <v>25</v>
      </c>
      <c r="O41" s="69">
        <v>3</v>
      </c>
      <c r="P41" s="58" t="s">
        <v>76</v>
      </c>
      <c r="Q41" s="58"/>
      <c r="R41" s="58"/>
      <c r="S41" s="58"/>
      <c r="T41" s="58"/>
      <c r="U41" s="58"/>
      <c r="V41" s="58"/>
      <c r="W41" s="57"/>
    </row>
    <row r="42" spans="2:23" ht="15">
      <c r="B42" s="73" t="s">
        <v>68</v>
      </c>
      <c r="C42" s="72" t="s">
        <v>75</v>
      </c>
      <c r="D42" s="70">
        <f t="shared" si="4"/>
        <v>3000</v>
      </c>
      <c r="E42" s="70">
        <v>96</v>
      </c>
      <c r="F42" s="70">
        <v>130</v>
      </c>
      <c r="G42" s="70">
        <v>0</v>
      </c>
      <c r="H42" s="70">
        <v>24</v>
      </c>
      <c r="I42" s="70">
        <v>2</v>
      </c>
      <c r="J42" s="71">
        <v>0.25</v>
      </c>
      <c r="K42" s="71">
        <v>0.25</v>
      </c>
      <c r="L42" s="70">
        <v>3</v>
      </c>
      <c r="M42" s="70">
        <v>2</v>
      </c>
      <c r="N42" s="70" t="s">
        <v>25</v>
      </c>
      <c r="O42" s="69">
        <v>2.5</v>
      </c>
      <c r="P42" s="58" t="s">
        <v>74</v>
      </c>
      <c r="Q42" s="58"/>
      <c r="R42" s="58"/>
      <c r="S42" s="58"/>
      <c r="T42" s="58"/>
      <c r="U42" s="58"/>
      <c r="V42" s="58"/>
      <c r="W42" s="57"/>
    </row>
    <row r="43" spans="2:23" ht="15">
      <c r="B43" s="73" t="s">
        <v>68</v>
      </c>
      <c r="C43" s="72" t="s">
        <v>73</v>
      </c>
      <c r="D43" s="70">
        <f t="shared" si="4"/>
        <v>3200</v>
      </c>
      <c r="E43" s="70">
        <v>75</v>
      </c>
      <c r="F43" s="70">
        <v>75</v>
      </c>
      <c r="G43" s="70">
        <v>0</v>
      </c>
      <c r="H43" s="70">
        <v>24</v>
      </c>
      <c r="I43" s="70">
        <v>1.5</v>
      </c>
      <c r="J43" s="71">
        <v>0.25</v>
      </c>
      <c r="K43" s="71">
        <v>0.125</v>
      </c>
      <c r="L43" s="70" t="s">
        <v>25</v>
      </c>
      <c r="M43" s="70" t="s">
        <v>25</v>
      </c>
      <c r="N43" s="70" t="s">
        <v>25</v>
      </c>
      <c r="O43" s="69">
        <v>3</v>
      </c>
      <c r="P43" s="58" t="s">
        <v>72</v>
      </c>
      <c r="Q43" s="58"/>
      <c r="R43" s="58"/>
      <c r="S43" s="58"/>
      <c r="T43" s="58"/>
      <c r="U43" s="58"/>
      <c r="V43" s="58"/>
      <c r="W43" s="57"/>
    </row>
    <row r="44" spans="2:23" ht="15">
      <c r="B44" s="73" t="s">
        <v>68</v>
      </c>
      <c r="C44" s="72" t="s">
        <v>71</v>
      </c>
      <c r="D44" s="70">
        <f t="shared" si="4"/>
        <v>3400</v>
      </c>
      <c r="E44" s="70">
        <v>100</v>
      </c>
      <c r="F44" s="70">
        <v>100</v>
      </c>
      <c r="G44" s="70">
        <v>0</v>
      </c>
      <c r="H44" s="70">
        <v>23.9</v>
      </c>
      <c r="I44" s="70">
        <v>1</v>
      </c>
      <c r="J44" s="71">
        <v>0.125</v>
      </c>
      <c r="K44" s="71">
        <v>0.125</v>
      </c>
      <c r="L44" s="70">
        <v>3</v>
      </c>
      <c r="M44" s="70">
        <v>3</v>
      </c>
      <c r="N44" s="70" t="s">
        <v>25</v>
      </c>
      <c r="O44" s="69">
        <v>3</v>
      </c>
      <c r="P44" s="58" t="s">
        <v>70</v>
      </c>
      <c r="Q44" s="58"/>
      <c r="R44" s="58"/>
      <c r="S44" s="58"/>
      <c r="T44" s="58"/>
      <c r="U44" s="58"/>
      <c r="V44" s="58"/>
      <c r="W44" s="57"/>
    </row>
    <row r="45" spans="2:23" ht="15">
      <c r="B45" s="73" t="s">
        <v>68</v>
      </c>
      <c r="C45" s="72" t="s">
        <v>69</v>
      </c>
      <c r="D45" s="70">
        <f t="shared" si="4"/>
        <v>3600</v>
      </c>
      <c r="E45" s="70">
        <v>75</v>
      </c>
      <c r="F45" s="70">
        <v>56</v>
      </c>
      <c r="G45" s="70">
        <v>0</v>
      </c>
      <c r="H45" s="70">
        <v>23.9</v>
      </c>
      <c r="I45" s="70">
        <v>0</v>
      </c>
      <c r="J45" s="71">
        <v>0.75</v>
      </c>
      <c r="K45" s="71">
        <v>0.75</v>
      </c>
      <c r="L45" s="70">
        <v>3</v>
      </c>
      <c r="M45" s="70">
        <v>4</v>
      </c>
      <c r="N45" s="70" t="s">
        <v>25</v>
      </c>
      <c r="O45" s="69">
        <v>2.5</v>
      </c>
      <c r="P45" s="58"/>
      <c r="Q45" s="58"/>
      <c r="R45" s="58"/>
      <c r="S45" s="58"/>
      <c r="T45" s="58"/>
      <c r="U45" s="58"/>
      <c r="V45" s="58"/>
      <c r="W45" s="57"/>
    </row>
    <row r="46" spans="2:23" ht="15">
      <c r="B46" s="73" t="s">
        <v>68</v>
      </c>
      <c r="C46" s="72" t="s">
        <v>67</v>
      </c>
      <c r="D46" s="70">
        <f>150+D45</f>
        <v>3750</v>
      </c>
      <c r="E46" s="70">
        <v>35</v>
      </c>
      <c r="F46" s="70">
        <v>10</v>
      </c>
      <c r="G46" s="70">
        <v>0</v>
      </c>
      <c r="H46" s="70">
        <v>23.9</v>
      </c>
      <c r="I46" s="70">
        <v>1</v>
      </c>
      <c r="J46" s="71">
        <v>0.25</v>
      </c>
      <c r="K46" s="71">
        <v>0</v>
      </c>
      <c r="L46" s="70" t="s">
        <v>25</v>
      </c>
      <c r="M46" s="70" t="s">
        <v>25</v>
      </c>
      <c r="N46" s="70">
        <v>4</v>
      </c>
      <c r="O46" s="69">
        <v>3.5</v>
      </c>
      <c r="P46" s="58" t="s">
        <v>66</v>
      </c>
      <c r="Q46" s="58"/>
      <c r="R46" s="58"/>
      <c r="S46" s="58"/>
      <c r="T46" s="58"/>
      <c r="U46" s="58"/>
      <c r="V46" s="58"/>
      <c r="W46" s="57"/>
    </row>
    <row r="47" spans="2:23" ht="15">
      <c r="B47" s="68" t="s">
        <v>43</v>
      </c>
      <c r="C47" s="67" t="s">
        <v>43</v>
      </c>
      <c r="D47" s="65">
        <f>D46</f>
        <v>3750</v>
      </c>
      <c r="E47" s="65">
        <f>SUM(E27:E46)</f>
        <v>1714</v>
      </c>
      <c r="F47" s="65">
        <f>SUM(F27:F46)</f>
        <v>1322</v>
      </c>
      <c r="G47" s="65">
        <f>SUM(G27:G46)</f>
        <v>53</v>
      </c>
      <c r="H47" s="65" t="s">
        <v>25</v>
      </c>
      <c r="I47" s="65">
        <f>SUM(I27:I46)</f>
        <v>19.5</v>
      </c>
      <c r="J47" s="66" t="s">
        <v>25</v>
      </c>
      <c r="K47" s="66" t="s">
        <v>25</v>
      </c>
      <c r="L47" s="65" t="s">
        <v>25</v>
      </c>
      <c r="M47" s="65" t="s">
        <v>25</v>
      </c>
      <c r="N47" s="65" t="s">
        <v>25</v>
      </c>
      <c r="O47" s="64" t="s">
        <v>25</v>
      </c>
      <c r="P47" s="58"/>
      <c r="Q47" s="58"/>
      <c r="R47" s="58"/>
      <c r="S47" s="58"/>
      <c r="T47" s="58"/>
      <c r="U47" s="58"/>
      <c r="V47" s="58"/>
      <c r="W47" s="57"/>
    </row>
    <row r="48" spans="2:23" ht="15">
      <c r="B48" s="68" t="s">
        <v>42</v>
      </c>
      <c r="C48" s="67" t="s">
        <v>42</v>
      </c>
      <c r="D48" s="65" t="s">
        <v>25</v>
      </c>
      <c r="E48" s="65" t="s">
        <v>25</v>
      </c>
      <c r="F48" s="65" t="s">
        <v>25</v>
      </c>
      <c r="G48" s="65" t="s">
        <v>25</v>
      </c>
      <c r="H48" s="65">
        <f>AVERAGE(H27:H46)</f>
        <v>24.064999999999998</v>
      </c>
      <c r="I48" s="65" t="s">
        <v>25</v>
      </c>
      <c r="J48" s="66">
        <f aca="true" t="shared" si="5" ref="J48:O48">AVERAGE(J27:J46)</f>
        <v>0.21875</v>
      </c>
      <c r="K48" s="66">
        <f t="shared" si="5"/>
        <v>0.3875</v>
      </c>
      <c r="L48" s="65">
        <f t="shared" si="5"/>
        <v>2.9583333333333335</v>
      </c>
      <c r="M48" s="65">
        <f t="shared" si="5"/>
        <v>3.4166666666666665</v>
      </c>
      <c r="N48" s="65">
        <f t="shared" si="5"/>
        <v>3</v>
      </c>
      <c r="O48" s="64">
        <f t="shared" si="5"/>
        <v>2.875</v>
      </c>
      <c r="P48" s="58"/>
      <c r="Q48" s="58"/>
      <c r="R48" s="58"/>
      <c r="S48" s="58"/>
      <c r="T48" s="58"/>
      <c r="U48" s="58"/>
      <c r="V48" s="58"/>
      <c r="W48" s="57"/>
    </row>
    <row r="49" spans="2:23" ht="15">
      <c r="B49" s="79"/>
      <c r="C49" s="78"/>
      <c r="D49" s="77"/>
      <c r="E49" s="75"/>
      <c r="F49" s="75"/>
      <c r="G49" s="75"/>
      <c r="H49" s="75"/>
      <c r="I49" s="75"/>
      <c r="J49" s="76"/>
      <c r="K49" s="76"/>
      <c r="L49" s="75"/>
      <c r="M49" s="75"/>
      <c r="N49" s="75"/>
      <c r="O49" s="74"/>
      <c r="P49" s="58"/>
      <c r="Q49" s="58"/>
      <c r="R49" s="58"/>
      <c r="S49" s="58"/>
      <c r="T49" s="58"/>
      <c r="U49" s="58"/>
      <c r="V49" s="58"/>
      <c r="W49" s="57"/>
    </row>
    <row r="50" spans="2:23" ht="15">
      <c r="B50" s="73" t="s">
        <v>54</v>
      </c>
      <c r="C50" s="72" t="s">
        <v>65</v>
      </c>
      <c r="D50" s="70">
        <v>0</v>
      </c>
      <c r="E50" s="70">
        <f aca="true" t="shared" si="6" ref="E50:P50">E9</f>
        <v>103</v>
      </c>
      <c r="F50" s="70">
        <f t="shared" si="6"/>
        <v>108</v>
      </c>
      <c r="G50" s="70">
        <f t="shared" si="6"/>
        <v>0</v>
      </c>
      <c r="H50" s="70">
        <f t="shared" si="6"/>
        <v>24.1</v>
      </c>
      <c r="I50" s="70">
        <f t="shared" si="6"/>
        <v>1</v>
      </c>
      <c r="J50" s="71">
        <f t="shared" si="6"/>
        <v>0.5</v>
      </c>
      <c r="K50" s="71">
        <f t="shared" si="6"/>
        <v>0.5</v>
      </c>
      <c r="L50" s="70">
        <f t="shared" si="6"/>
        <v>3</v>
      </c>
      <c r="M50" s="70">
        <f t="shared" si="6"/>
        <v>3</v>
      </c>
      <c r="N50" s="70">
        <f t="shared" si="6"/>
        <v>2.5</v>
      </c>
      <c r="O50" s="69">
        <f t="shared" si="6"/>
        <v>2.5</v>
      </c>
      <c r="P50" s="58" t="str">
        <f t="shared" si="6"/>
        <v>Construction access ramp blocking ditch, driveway culvert covered w/ cloth</v>
      </c>
      <c r="Q50" s="58"/>
      <c r="R50" s="58"/>
      <c r="S50" s="58"/>
      <c r="T50" s="58"/>
      <c r="U50" s="58"/>
      <c r="V50" s="58"/>
      <c r="W50" s="57"/>
    </row>
    <row r="51" spans="2:23" ht="15">
      <c r="B51" s="73" t="s">
        <v>54</v>
      </c>
      <c r="C51" s="72" t="s">
        <v>64</v>
      </c>
      <c r="D51" s="70">
        <f aca="true" t="shared" si="7" ref="D51:D56">200+D50</f>
        <v>200</v>
      </c>
      <c r="E51" s="70">
        <v>55</v>
      </c>
      <c r="F51" s="70">
        <v>8</v>
      </c>
      <c r="G51" s="70">
        <v>0</v>
      </c>
      <c r="H51" s="70">
        <v>24.5</v>
      </c>
      <c r="I51" s="70">
        <v>1.5</v>
      </c>
      <c r="J51" s="71">
        <v>0.125</v>
      </c>
      <c r="K51" s="71">
        <v>0.25</v>
      </c>
      <c r="L51" s="70">
        <v>3</v>
      </c>
      <c r="M51" s="70">
        <v>3</v>
      </c>
      <c r="N51" s="70" t="s">
        <v>25</v>
      </c>
      <c r="O51" s="69">
        <v>4</v>
      </c>
      <c r="P51" s="58" t="s">
        <v>63</v>
      </c>
      <c r="Q51" s="58"/>
      <c r="R51" s="58"/>
      <c r="S51" s="58"/>
      <c r="T51" s="58"/>
      <c r="U51" s="58"/>
      <c r="V51" s="58"/>
      <c r="W51" s="57"/>
    </row>
    <row r="52" spans="2:23" ht="15">
      <c r="B52" s="73" t="s">
        <v>54</v>
      </c>
      <c r="C52" s="72" t="s">
        <v>62</v>
      </c>
      <c r="D52" s="70">
        <f t="shared" si="7"/>
        <v>400</v>
      </c>
      <c r="E52" s="70">
        <v>80</v>
      </c>
      <c r="F52" s="70">
        <v>5</v>
      </c>
      <c r="G52" s="70">
        <v>0</v>
      </c>
      <c r="H52" s="70">
        <v>24.1</v>
      </c>
      <c r="I52" s="70">
        <v>1.5</v>
      </c>
      <c r="J52" s="71">
        <v>0</v>
      </c>
      <c r="K52" s="71">
        <v>0.125</v>
      </c>
      <c r="L52" s="70" t="s">
        <v>25</v>
      </c>
      <c r="M52" s="70" t="s">
        <v>25</v>
      </c>
      <c r="N52" s="70" t="s">
        <v>25</v>
      </c>
      <c r="O52" s="69">
        <v>4</v>
      </c>
      <c r="P52" s="58"/>
      <c r="Q52" s="58"/>
      <c r="R52" s="58"/>
      <c r="S52" s="58"/>
      <c r="T52" s="58"/>
      <c r="U52" s="58"/>
      <c r="V52" s="58"/>
      <c r="W52" s="57"/>
    </row>
    <row r="53" spans="2:23" ht="15">
      <c r="B53" s="73" t="s">
        <v>54</v>
      </c>
      <c r="C53" s="72" t="s">
        <v>61</v>
      </c>
      <c r="D53" s="70">
        <f t="shared" si="7"/>
        <v>600</v>
      </c>
      <c r="E53" s="70">
        <v>80</v>
      </c>
      <c r="F53" s="70">
        <v>85</v>
      </c>
      <c r="G53" s="70">
        <v>0</v>
      </c>
      <c r="H53" s="70">
        <v>24.3</v>
      </c>
      <c r="I53" s="70">
        <v>0</v>
      </c>
      <c r="J53" s="71">
        <v>0.125</v>
      </c>
      <c r="K53" s="71">
        <v>0</v>
      </c>
      <c r="L53" s="70">
        <v>4</v>
      </c>
      <c r="M53" s="70">
        <v>4</v>
      </c>
      <c r="N53" s="70" t="s">
        <v>25</v>
      </c>
      <c r="O53" s="69">
        <v>3</v>
      </c>
      <c r="P53" s="58" t="s">
        <v>60</v>
      </c>
      <c r="Q53" s="58"/>
      <c r="R53" s="58"/>
      <c r="S53" s="58"/>
      <c r="T53" s="58"/>
      <c r="U53" s="58"/>
      <c r="V53" s="58"/>
      <c r="W53" s="57"/>
    </row>
    <row r="54" spans="2:23" ht="15">
      <c r="B54" s="73" t="s">
        <v>54</v>
      </c>
      <c r="C54" s="72" t="s">
        <v>59</v>
      </c>
      <c r="D54" s="70">
        <f t="shared" si="7"/>
        <v>800</v>
      </c>
      <c r="E54" s="70">
        <v>80</v>
      </c>
      <c r="F54" s="70">
        <v>26</v>
      </c>
      <c r="G54" s="70">
        <v>0</v>
      </c>
      <c r="H54" s="70">
        <v>24.5</v>
      </c>
      <c r="I54" s="70">
        <v>0</v>
      </c>
      <c r="J54" s="71">
        <v>0</v>
      </c>
      <c r="K54" s="71">
        <v>0.25</v>
      </c>
      <c r="L54" s="70" t="s">
        <v>25</v>
      </c>
      <c r="M54" s="70" t="s">
        <v>25</v>
      </c>
      <c r="N54" s="70" t="s">
        <v>25</v>
      </c>
      <c r="O54" s="69">
        <v>3.5</v>
      </c>
      <c r="P54" s="58"/>
      <c r="Q54" s="58"/>
      <c r="R54" s="58"/>
      <c r="S54" s="58"/>
      <c r="T54" s="58"/>
      <c r="U54" s="58"/>
      <c r="V54" s="58"/>
      <c r="W54" s="57"/>
    </row>
    <row r="55" spans="2:23" ht="15">
      <c r="B55" s="73" t="s">
        <v>54</v>
      </c>
      <c r="C55" s="72" t="s">
        <v>58</v>
      </c>
      <c r="D55" s="70">
        <f t="shared" si="7"/>
        <v>1000</v>
      </c>
      <c r="E55" s="70">
        <v>125</v>
      </c>
      <c r="F55" s="70">
        <v>165</v>
      </c>
      <c r="G55" s="70">
        <v>0</v>
      </c>
      <c r="H55" s="70">
        <v>24.1</v>
      </c>
      <c r="I55" s="70">
        <v>1</v>
      </c>
      <c r="J55" s="71">
        <v>0</v>
      </c>
      <c r="K55" s="71">
        <v>0.25</v>
      </c>
      <c r="L55" s="70">
        <v>3</v>
      </c>
      <c r="M55" s="70">
        <v>1</v>
      </c>
      <c r="N55" s="70" t="s">
        <v>25</v>
      </c>
      <c r="O55" s="69">
        <v>2.5</v>
      </c>
      <c r="P55" s="58" t="s">
        <v>57</v>
      </c>
      <c r="Q55" s="58"/>
      <c r="R55" s="58"/>
      <c r="S55" s="58"/>
      <c r="T55" s="58"/>
      <c r="U55" s="58"/>
      <c r="V55" s="58"/>
      <c r="W55" s="57"/>
    </row>
    <row r="56" spans="2:23" ht="15">
      <c r="B56" s="73" t="s">
        <v>54</v>
      </c>
      <c r="C56" s="72" t="s">
        <v>56</v>
      </c>
      <c r="D56" s="70">
        <f t="shared" si="7"/>
        <v>1200</v>
      </c>
      <c r="E56" s="70">
        <v>60</v>
      </c>
      <c r="F56" s="70">
        <v>68</v>
      </c>
      <c r="G56" s="70">
        <v>2</v>
      </c>
      <c r="H56" s="70">
        <v>24.1</v>
      </c>
      <c r="I56" s="70">
        <v>1</v>
      </c>
      <c r="J56" s="71">
        <v>0.125</v>
      </c>
      <c r="K56" s="71">
        <v>0.125</v>
      </c>
      <c r="L56" s="70">
        <v>3</v>
      </c>
      <c r="M56" s="70">
        <v>2</v>
      </c>
      <c r="N56" s="70" t="s">
        <v>25</v>
      </c>
      <c r="O56" s="69">
        <v>3</v>
      </c>
      <c r="P56" s="58" t="s">
        <v>55</v>
      </c>
      <c r="Q56" s="58"/>
      <c r="R56" s="58"/>
      <c r="S56" s="58"/>
      <c r="T56" s="58"/>
      <c r="U56" s="58"/>
      <c r="V56" s="58"/>
      <c r="W56" s="57"/>
    </row>
    <row r="57" spans="2:23" ht="15">
      <c r="B57" s="73" t="s">
        <v>54</v>
      </c>
      <c r="C57" s="72" t="s">
        <v>53</v>
      </c>
      <c r="D57" s="70">
        <f>100+D56</f>
        <v>1300</v>
      </c>
      <c r="E57" s="70">
        <f aca="true" t="shared" si="8" ref="E57:P57">E35</f>
        <v>100</v>
      </c>
      <c r="F57" s="70">
        <f t="shared" si="8"/>
        <v>170</v>
      </c>
      <c r="G57" s="70">
        <f t="shared" si="8"/>
        <v>0</v>
      </c>
      <c r="H57" s="70">
        <f t="shared" si="8"/>
        <v>23.9</v>
      </c>
      <c r="I57" s="70">
        <f t="shared" si="8"/>
        <v>0</v>
      </c>
      <c r="J57" s="71">
        <f t="shared" si="8"/>
        <v>0.25</v>
      </c>
      <c r="K57" s="71">
        <f t="shared" si="8"/>
        <v>0.75</v>
      </c>
      <c r="L57" s="70">
        <f t="shared" si="8"/>
        <v>3</v>
      </c>
      <c r="M57" s="70">
        <f t="shared" si="8"/>
        <v>3</v>
      </c>
      <c r="N57" s="70">
        <f t="shared" si="8"/>
        <v>2</v>
      </c>
      <c r="O57" s="69">
        <f t="shared" si="8"/>
        <v>1.5</v>
      </c>
      <c r="P57" s="58" t="str">
        <f t="shared" si="8"/>
        <v>No culvert at intersection, some driveway culverts need cleaning</v>
      </c>
      <c r="Q57" s="58"/>
      <c r="R57" s="58"/>
      <c r="S57" s="58"/>
      <c r="T57" s="58"/>
      <c r="U57" s="58"/>
      <c r="V57" s="58"/>
      <c r="W57" s="57"/>
    </row>
    <row r="58" spans="2:23" ht="15">
      <c r="B58" s="68" t="s">
        <v>43</v>
      </c>
      <c r="C58" s="67" t="s">
        <v>43</v>
      </c>
      <c r="D58" s="65">
        <f>D57</f>
        <v>1300</v>
      </c>
      <c r="E58" s="65">
        <f>SUM(E50:E57)</f>
        <v>683</v>
      </c>
      <c r="F58" s="65">
        <f>SUM(F50:F57)</f>
        <v>635</v>
      </c>
      <c r="G58" s="65">
        <f>SUM(G50:G57)</f>
        <v>2</v>
      </c>
      <c r="H58" s="65" t="s">
        <v>25</v>
      </c>
      <c r="I58" s="65">
        <f>SUM(I50:I57)</f>
        <v>6</v>
      </c>
      <c r="J58" s="66" t="s">
        <v>25</v>
      </c>
      <c r="K58" s="66" t="s">
        <v>25</v>
      </c>
      <c r="L58" s="65" t="s">
        <v>25</v>
      </c>
      <c r="M58" s="65" t="s">
        <v>25</v>
      </c>
      <c r="N58" s="65" t="s">
        <v>25</v>
      </c>
      <c r="O58" s="64" t="s">
        <v>25</v>
      </c>
      <c r="P58" s="58"/>
      <c r="Q58" s="58"/>
      <c r="R58" s="58"/>
      <c r="S58" s="58"/>
      <c r="T58" s="58"/>
      <c r="U58" s="58"/>
      <c r="V58" s="58"/>
      <c r="W58" s="57"/>
    </row>
    <row r="59" spans="2:23" ht="15">
      <c r="B59" s="68" t="s">
        <v>42</v>
      </c>
      <c r="C59" s="67" t="s">
        <v>42</v>
      </c>
      <c r="D59" s="81" t="s">
        <v>25</v>
      </c>
      <c r="E59" s="65" t="s">
        <v>25</v>
      </c>
      <c r="F59" s="65">
        <f>E58+F58</f>
        <v>1318</v>
      </c>
      <c r="G59" s="65" t="s">
        <v>25</v>
      </c>
      <c r="H59" s="65">
        <f>AVERAGE(H50:H57)</f>
        <v>24.2</v>
      </c>
      <c r="I59" s="65" t="s">
        <v>25</v>
      </c>
      <c r="J59" s="66">
        <f aca="true" t="shared" si="9" ref="J59:O59">AVERAGE(J50:J57)</f>
        <v>0.140625</v>
      </c>
      <c r="K59" s="66">
        <f t="shared" si="9"/>
        <v>0.28125</v>
      </c>
      <c r="L59" s="65">
        <f t="shared" si="9"/>
        <v>3.1666666666666665</v>
      </c>
      <c r="M59" s="65">
        <f t="shared" si="9"/>
        <v>2.6666666666666665</v>
      </c>
      <c r="N59" s="65">
        <f t="shared" si="9"/>
        <v>2.25</v>
      </c>
      <c r="O59" s="64">
        <f t="shared" si="9"/>
        <v>3</v>
      </c>
      <c r="P59" s="58"/>
      <c r="Q59" s="58"/>
      <c r="R59" s="58"/>
      <c r="S59" s="58"/>
      <c r="T59" s="58"/>
      <c r="U59" s="58"/>
      <c r="V59" s="58"/>
      <c r="W59" s="57"/>
    </row>
    <row r="60" spans="2:23" ht="15">
      <c r="B60" s="79"/>
      <c r="C60" s="78"/>
      <c r="D60" s="77"/>
      <c r="E60" s="75"/>
      <c r="F60" s="75"/>
      <c r="G60" s="75"/>
      <c r="H60" s="75"/>
      <c r="I60" s="75"/>
      <c r="J60" s="76"/>
      <c r="K60" s="76"/>
      <c r="L60" s="75"/>
      <c r="M60" s="75"/>
      <c r="N60" s="75"/>
      <c r="O60" s="74"/>
      <c r="P60" s="58"/>
      <c r="Q60" s="58"/>
      <c r="R60" s="58"/>
      <c r="S60" s="58"/>
      <c r="T60" s="58"/>
      <c r="U60" s="58"/>
      <c r="V60" s="58"/>
      <c r="W60" s="57"/>
    </row>
    <row r="61" spans="2:23" ht="15">
      <c r="B61" s="73" t="s">
        <v>50</v>
      </c>
      <c r="C61" s="72" t="s">
        <v>52</v>
      </c>
      <c r="D61" s="70">
        <v>0</v>
      </c>
      <c r="E61" s="70">
        <f aca="true" t="shared" si="10" ref="E61:P61">E39</f>
        <v>150</v>
      </c>
      <c r="F61" s="70">
        <f t="shared" si="10"/>
        <v>150</v>
      </c>
      <c r="G61" s="70">
        <f t="shared" si="10"/>
        <v>0</v>
      </c>
      <c r="H61" s="70">
        <f t="shared" si="10"/>
        <v>24.2</v>
      </c>
      <c r="I61" s="70">
        <f t="shared" si="10"/>
        <v>0</v>
      </c>
      <c r="J61" s="71">
        <f t="shared" si="10"/>
        <v>0.125</v>
      </c>
      <c r="K61" s="71">
        <f t="shared" si="10"/>
        <v>0.25</v>
      </c>
      <c r="L61" s="70" t="str">
        <f t="shared" si="10"/>
        <v>-</v>
      </c>
      <c r="M61" s="70" t="str">
        <f t="shared" si="10"/>
        <v>-</v>
      </c>
      <c r="N61" s="70">
        <f t="shared" si="10"/>
        <v>3</v>
      </c>
      <c r="O61" s="69">
        <f t="shared" si="10"/>
        <v>3</v>
      </c>
      <c r="P61" s="58" t="str">
        <f t="shared" si="10"/>
        <v>No culvert at intersection</v>
      </c>
      <c r="Q61" s="58"/>
      <c r="R61" s="58"/>
      <c r="S61" s="58"/>
      <c r="T61" s="58"/>
      <c r="U61" s="58"/>
      <c r="V61" s="58"/>
      <c r="W61" s="57"/>
    </row>
    <row r="62" spans="2:23" ht="15">
      <c r="B62" s="73" t="s">
        <v>50</v>
      </c>
      <c r="C62" s="72" t="s">
        <v>51</v>
      </c>
      <c r="D62" s="70">
        <v>200</v>
      </c>
      <c r="E62" s="70">
        <v>80</v>
      </c>
      <c r="F62" s="70">
        <v>85</v>
      </c>
      <c r="G62" s="70">
        <v>0</v>
      </c>
      <c r="H62" s="70">
        <v>24.6</v>
      </c>
      <c r="I62" s="70">
        <v>1</v>
      </c>
      <c r="J62" s="71">
        <v>0</v>
      </c>
      <c r="K62" s="71">
        <v>0.125</v>
      </c>
      <c r="L62" s="70">
        <v>3.5</v>
      </c>
      <c r="M62" s="70">
        <v>4</v>
      </c>
      <c r="N62" s="70" t="s">
        <v>25</v>
      </c>
      <c r="O62" s="69">
        <v>3.5</v>
      </c>
      <c r="P62" s="58"/>
      <c r="Q62" s="58"/>
      <c r="R62" s="58"/>
      <c r="S62" s="58"/>
      <c r="T62" s="58"/>
      <c r="U62" s="58"/>
      <c r="V62" s="58"/>
      <c r="W62" s="57"/>
    </row>
    <row r="63" spans="2:23" ht="15">
      <c r="B63" s="73" t="s">
        <v>50</v>
      </c>
      <c r="C63" s="72" t="s">
        <v>49</v>
      </c>
      <c r="D63" s="70">
        <v>400</v>
      </c>
      <c r="E63" s="70">
        <v>50</v>
      </c>
      <c r="F63" s="70">
        <v>23</v>
      </c>
      <c r="G63" s="70">
        <v>0</v>
      </c>
      <c r="H63" s="70">
        <v>24.1</v>
      </c>
      <c r="I63" s="70">
        <v>1</v>
      </c>
      <c r="J63" s="71">
        <v>0</v>
      </c>
      <c r="K63" s="71">
        <v>0</v>
      </c>
      <c r="L63" s="70" t="s">
        <v>25</v>
      </c>
      <c r="M63" s="70" t="s">
        <v>25</v>
      </c>
      <c r="N63" s="70" t="s">
        <v>25</v>
      </c>
      <c r="O63" s="69">
        <v>4.5</v>
      </c>
      <c r="P63" s="58"/>
      <c r="Q63" s="58"/>
      <c r="R63" s="58"/>
      <c r="S63" s="58"/>
      <c r="T63" s="58"/>
      <c r="U63" s="58"/>
      <c r="V63" s="58"/>
      <c r="W63" s="57"/>
    </row>
    <row r="64" spans="2:23" ht="15">
      <c r="B64" s="68" t="s">
        <v>43</v>
      </c>
      <c r="C64" s="67" t="s">
        <v>43</v>
      </c>
      <c r="D64" s="65">
        <f>D63</f>
        <v>400</v>
      </c>
      <c r="E64" s="65">
        <f>SUM(E61:E63)</f>
        <v>280</v>
      </c>
      <c r="F64" s="65">
        <f>SUM(F61:F63)</f>
        <v>258</v>
      </c>
      <c r="G64" s="65">
        <f>SUM(G61:G63)</f>
        <v>0</v>
      </c>
      <c r="H64" s="65" t="s">
        <v>25</v>
      </c>
      <c r="I64" s="65">
        <f>SUM(I61:I63)</f>
        <v>2</v>
      </c>
      <c r="J64" s="66" t="s">
        <v>25</v>
      </c>
      <c r="K64" s="66" t="s">
        <v>25</v>
      </c>
      <c r="L64" s="65" t="s">
        <v>25</v>
      </c>
      <c r="M64" s="65" t="s">
        <v>25</v>
      </c>
      <c r="N64" s="65" t="s">
        <v>25</v>
      </c>
      <c r="O64" s="64" t="s">
        <v>25</v>
      </c>
      <c r="P64" s="58"/>
      <c r="Q64" s="58"/>
      <c r="R64" s="58"/>
      <c r="S64" s="58"/>
      <c r="T64" s="58"/>
      <c r="U64" s="58"/>
      <c r="V64" s="58"/>
      <c r="W64" s="57"/>
    </row>
    <row r="65" spans="2:23" ht="15">
      <c r="B65" s="68" t="s">
        <v>42</v>
      </c>
      <c r="C65" s="67" t="s">
        <v>42</v>
      </c>
      <c r="D65" s="65" t="s">
        <v>25</v>
      </c>
      <c r="E65" s="65" t="s">
        <v>25</v>
      </c>
      <c r="F65" s="65" t="s">
        <v>25</v>
      </c>
      <c r="G65" s="65" t="s">
        <v>25</v>
      </c>
      <c r="H65" s="65">
        <f>AVERAGE(H61:H63)</f>
        <v>24.3</v>
      </c>
      <c r="I65" s="65" t="s">
        <v>25</v>
      </c>
      <c r="J65" s="66">
        <f aca="true" t="shared" si="11" ref="J65:O65">AVERAGE(J61:J63)</f>
        <v>0.041666666666666664</v>
      </c>
      <c r="K65" s="66">
        <f t="shared" si="11"/>
        <v>0.125</v>
      </c>
      <c r="L65" s="65">
        <f t="shared" si="11"/>
        <v>3.5</v>
      </c>
      <c r="M65" s="65">
        <f t="shared" si="11"/>
        <v>4</v>
      </c>
      <c r="N65" s="65">
        <f t="shared" si="11"/>
        <v>3</v>
      </c>
      <c r="O65" s="80">
        <f t="shared" si="11"/>
        <v>3.6666666666666665</v>
      </c>
      <c r="P65" s="58"/>
      <c r="Q65" s="58"/>
      <c r="R65" s="58"/>
      <c r="S65" s="58"/>
      <c r="T65" s="58"/>
      <c r="U65" s="58"/>
      <c r="V65" s="58"/>
      <c r="W65" s="57"/>
    </row>
    <row r="66" spans="2:23" ht="15">
      <c r="B66" s="79"/>
      <c r="C66" s="78"/>
      <c r="D66" s="77"/>
      <c r="E66" s="75"/>
      <c r="F66" s="75"/>
      <c r="G66" s="75"/>
      <c r="H66" s="75"/>
      <c r="I66" s="75"/>
      <c r="J66" s="76"/>
      <c r="K66" s="76"/>
      <c r="L66" s="75"/>
      <c r="M66" s="75"/>
      <c r="N66" s="75"/>
      <c r="O66" s="74"/>
      <c r="P66" s="58"/>
      <c r="Q66" s="58"/>
      <c r="R66" s="58"/>
      <c r="S66" s="58"/>
      <c r="T66" s="58"/>
      <c r="U66" s="58"/>
      <c r="V66" s="58"/>
      <c r="W66" s="57"/>
    </row>
    <row r="67" spans="2:23" ht="15">
      <c r="B67" s="73" t="s">
        <v>46</v>
      </c>
      <c r="C67" s="72" t="s">
        <v>48</v>
      </c>
      <c r="D67" s="70">
        <v>0</v>
      </c>
      <c r="E67" s="70">
        <f aca="true" t="shared" si="12" ref="E67:P67">E13</f>
        <v>144</v>
      </c>
      <c r="F67" s="70">
        <f t="shared" si="12"/>
        <v>80</v>
      </c>
      <c r="G67" s="70">
        <f t="shared" si="12"/>
        <v>0</v>
      </c>
      <c r="H67" s="70">
        <f t="shared" si="12"/>
        <v>24.4</v>
      </c>
      <c r="I67" s="70">
        <f t="shared" si="12"/>
        <v>0</v>
      </c>
      <c r="J67" s="71">
        <f t="shared" si="12"/>
        <v>0.25</v>
      </c>
      <c r="K67" s="71">
        <f t="shared" si="12"/>
        <v>0.125</v>
      </c>
      <c r="L67" s="70">
        <f t="shared" si="12"/>
        <v>3</v>
      </c>
      <c r="M67" s="70">
        <f t="shared" si="12"/>
        <v>4</v>
      </c>
      <c r="N67" s="70">
        <f t="shared" si="12"/>
        <v>3.5</v>
      </c>
      <c r="O67" s="69">
        <f t="shared" si="12"/>
        <v>3.5</v>
      </c>
      <c r="P67" s="58" t="str">
        <f t="shared" si="12"/>
        <v>No culvert at intersection </v>
      </c>
      <c r="Q67" s="58"/>
      <c r="R67" s="58"/>
      <c r="S67" s="58"/>
      <c r="T67" s="58"/>
      <c r="U67" s="58"/>
      <c r="V67" s="58"/>
      <c r="W67" s="57"/>
    </row>
    <row r="68" spans="2:23" ht="15">
      <c r="B68" s="73" t="s">
        <v>46</v>
      </c>
      <c r="C68" s="72" t="s">
        <v>47</v>
      </c>
      <c r="D68" s="70">
        <v>200</v>
      </c>
      <c r="E68" s="70">
        <v>100</v>
      </c>
      <c r="F68" s="70">
        <v>35</v>
      </c>
      <c r="G68" s="70" t="s">
        <v>25</v>
      </c>
      <c r="H68" s="70">
        <v>24.1</v>
      </c>
      <c r="I68" s="70">
        <v>2</v>
      </c>
      <c r="J68" s="71">
        <f>1/8</f>
        <v>0.125</v>
      </c>
      <c r="K68" s="71">
        <f>1/8</f>
        <v>0.125</v>
      </c>
      <c r="L68" s="70">
        <v>3</v>
      </c>
      <c r="M68" s="70">
        <v>4</v>
      </c>
      <c r="N68" s="70" t="s">
        <v>25</v>
      </c>
      <c r="O68" s="69">
        <v>3</v>
      </c>
      <c r="P68" s="58"/>
      <c r="Q68" s="58"/>
      <c r="R68" s="58"/>
      <c r="S68" s="58"/>
      <c r="T68" s="58"/>
      <c r="U68" s="58"/>
      <c r="V68" s="58"/>
      <c r="W68" s="57"/>
    </row>
    <row r="69" spans="2:23" ht="15">
      <c r="B69" s="73" t="s">
        <v>46</v>
      </c>
      <c r="C69" s="72" t="s">
        <v>45</v>
      </c>
      <c r="D69" s="70">
        <v>400</v>
      </c>
      <c r="E69" s="70" t="s">
        <v>25</v>
      </c>
      <c r="F69" s="70">
        <v>500</v>
      </c>
      <c r="G69" s="70">
        <v>30</v>
      </c>
      <c r="H69" s="70" t="s">
        <v>25</v>
      </c>
      <c r="I69" s="70">
        <v>1</v>
      </c>
      <c r="J69" s="71">
        <v>0</v>
      </c>
      <c r="K69" s="71">
        <v>1</v>
      </c>
      <c r="L69" s="70">
        <v>3</v>
      </c>
      <c r="M69" s="70">
        <v>1</v>
      </c>
      <c r="N69" s="70" t="s">
        <v>25</v>
      </c>
      <c r="O69" s="69">
        <v>2.5</v>
      </c>
      <c r="P69" s="58" t="s">
        <v>44</v>
      </c>
      <c r="Q69" s="58"/>
      <c r="R69" s="58"/>
      <c r="S69" s="58"/>
      <c r="T69" s="58"/>
      <c r="U69" s="58"/>
      <c r="V69" s="58"/>
      <c r="W69" s="57"/>
    </row>
    <row r="70" spans="2:23" ht="15">
      <c r="B70" s="68" t="s">
        <v>43</v>
      </c>
      <c r="C70" s="67" t="s">
        <v>43</v>
      </c>
      <c r="D70" s="65">
        <f>D69</f>
        <v>400</v>
      </c>
      <c r="E70" s="65">
        <f>SUM(E67:E69)</f>
        <v>244</v>
      </c>
      <c r="F70" s="65">
        <f>SUM(F67:F69)</f>
        <v>615</v>
      </c>
      <c r="G70" s="65">
        <f>SUM(G67:G69)</f>
        <v>30</v>
      </c>
      <c r="H70" s="65" t="s">
        <v>25</v>
      </c>
      <c r="I70" s="65">
        <f>SUM(I67:I69)</f>
        <v>3</v>
      </c>
      <c r="J70" s="66" t="s">
        <v>25</v>
      </c>
      <c r="K70" s="66" t="s">
        <v>25</v>
      </c>
      <c r="L70" s="65" t="s">
        <v>25</v>
      </c>
      <c r="M70" s="65" t="s">
        <v>25</v>
      </c>
      <c r="N70" s="65" t="s">
        <v>25</v>
      </c>
      <c r="O70" s="64" t="s">
        <v>25</v>
      </c>
      <c r="P70" s="58"/>
      <c r="Q70" s="58"/>
      <c r="R70" s="58"/>
      <c r="S70" s="58"/>
      <c r="T70" s="58"/>
      <c r="U70" s="58"/>
      <c r="V70" s="58"/>
      <c r="W70" s="57"/>
    </row>
    <row r="71" spans="2:23" ht="15.75" thickBot="1">
      <c r="B71" s="63" t="s">
        <v>42</v>
      </c>
      <c r="C71" s="62" t="s">
        <v>42</v>
      </c>
      <c r="D71" s="60" t="s">
        <v>25</v>
      </c>
      <c r="E71" s="60" t="s">
        <v>25</v>
      </c>
      <c r="F71" s="60" t="s">
        <v>25</v>
      </c>
      <c r="G71" s="60" t="s">
        <v>25</v>
      </c>
      <c r="H71" s="60">
        <f>AVERAGE(H67:H69)</f>
        <v>24.25</v>
      </c>
      <c r="I71" s="60" t="s">
        <v>25</v>
      </c>
      <c r="J71" s="61">
        <f aca="true" t="shared" si="13" ref="J71:O71">AVERAGE(J67:J69)</f>
        <v>0.125</v>
      </c>
      <c r="K71" s="61">
        <f t="shared" si="13"/>
        <v>0.4166666666666667</v>
      </c>
      <c r="L71" s="60">
        <f t="shared" si="13"/>
        <v>3</v>
      </c>
      <c r="M71" s="60">
        <f t="shared" si="13"/>
        <v>3</v>
      </c>
      <c r="N71" s="60">
        <f t="shared" si="13"/>
        <v>3.5</v>
      </c>
      <c r="O71" s="59">
        <f t="shared" si="13"/>
        <v>3</v>
      </c>
      <c r="P71" s="58"/>
      <c r="Q71" s="58"/>
      <c r="R71" s="58"/>
      <c r="S71" s="58"/>
      <c r="T71" s="58"/>
      <c r="U71" s="58"/>
      <c r="V71" s="58"/>
      <c r="W71" s="57"/>
    </row>
    <row r="72" spans="5:23" ht="15">
      <c r="E72" s="57"/>
      <c r="F72" s="57"/>
      <c r="G72" s="57"/>
      <c r="H72" s="57"/>
      <c r="I72" s="57"/>
      <c r="J72" s="58"/>
      <c r="K72" s="58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</row>
    <row r="73" spans="5:23" ht="15"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</row>
    <row r="74" spans="10:11" ht="15.75" thickBot="1">
      <c r="J74" s="57"/>
      <c r="K74" s="57"/>
    </row>
    <row r="75" spans="4:15" ht="15.75" thickBot="1">
      <c r="D75" s="188" t="s">
        <v>41</v>
      </c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90"/>
    </row>
    <row r="76" spans="4:15" ht="45.75" thickBot="1">
      <c r="D76" s="56" t="s">
        <v>40</v>
      </c>
      <c r="E76" s="55" t="s">
        <v>39</v>
      </c>
      <c r="F76" s="55" t="s">
        <v>38</v>
      </c>
      <c r="G76" s="55" t="s">
        <v>37</v>
      </c>
      <c r="H76" s="55" t="s">
        <v>36</v>
      </c>
      <c r="I76" s="55" t="s">
        <v>35</v>
      </c>
      <c r="J76" s="54" t="s">
        <v>34</v>
      </c>
      <c r="K76" s="54" t="s">
        <v>33</v>
      </c>
      <c r="L76" s="53" t="s">
        <v>32</v>
      </c>
      <c r="M76" s="53" t="s">
        <v>31</v>
      </c>
      <c r="N76" s="53" t="s">
        <v>30</v>
      </c>
      <c r="O76" s="52" t="s">
        <v>29</v>
      </c>
    </row>
    <row r="77" spans="4:15" ht="15.75" thickBot="1">
      <c r="D77" s="51">
        <f>D70+D64+D58+D47+D24+D18</f>
        <v>9050</v>
      </c>
      <c r="E77" s="49">
        <f>E70+E64+E58+E47-E39-E35+E24+E18-E13-E9-E8</f>
        <v>4038</v>
      </c>
      <c r="F77" s="49">
        <f>F70+F64+F58+F47-F39-F35+F24+F18-F13-F9-F8</f>
        <v>3433</v>
      </c>
      <c r="G77" s="49">
        <f>G70+G64+G58+G47+G24+G18</f>
        <v>156</v>
      </c>
      <c r="H77" s="49">
        <f>AVERAGE(H71,H65,H59,H25,H19)</f>
        <v>24.19066666666667</v>
      </c>
      <c r="I77" s="49">
        <f>I70+I64+I58+I47-I39-I35+I24+I18-I13-I9-I8</f>
        <v>41.5</v>
      </c>
      <c r="J77" s="50">
        <f>AVERAGE(J71,J65,J59,J48,J25,J19)</f>
        <v>0.2112847222222222</v>
      </c>
      <c r="K77" s="50">
        <f>AVERAGE(K71,K65,K59,K48,K25,K19)</f>
        <v>0.2809027777777778</v>
      </c>
      <c r="L77" s="49">
        <f>AVERAGE(L71,L65,L59,L25,L48,L19)</f>
        <v>3.1268939393939394</v>
      </c>
      <c r="M77" s="49">
        <f>AVERAGE(M71,M65,M59,M25,M48,M19)</f>
        <v>3.4760101010101008</v>
      </c>
      <c r="N77" s="49">
        <f>AVERAGE(N71,N65,N59,N25,N48,N19)</f>
        <v>2.9583333333333335</v>
      </c>
      <c r="O77" s="48">
        <f>AVERAGE(O71,O65,O59,O25,O48,O19)</f>
        <v>3.1791666666666667</v>
      </c>
    </row>
    <row r="78" ht="15">
      <c r="E78" s="47"/>
    </row>
  </sheetData>
  <sheetProtection/>
  <mergeCells count="1">
    <mergeCell ref="D75:O75"/>
  </mergeCells>
  <printOptions/>
  <pageMargins left="0.7" right="0.7" top="0.75" bottom="0.75" header="0.3" footer="0.3"/>
  <pageSetup fitToHeight="0" fitToWidth="1" horizontalDpi="1200" verticalDpi="1200" orientation="landscape" scale="39" r:id="rId1"/>
  <colBreaks count="1" manualBreakCount="1">
    <brk id="16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O56"/>
  <sheetViews>
    <sheetView view="pageBreakPreview" zoomScale="85" zoomScaleNormal="85" zoomScaleSheetLayoutView="85" zoomScalePageLayoutView="0" workbookViewId="0" topLeftCell="A13">
      <selection activeCell="Y45" sqref="Y45"/>
    </sheetView>
  </sheetViews>
  <sheetFormatPr defaultColWidth="9.140625" defaultRowHeight="15"/>
  <cols>
    <col min="1" max="1" width="1.1484375" style="2" customWidth="1"/>
    <col min="2" max="2" width="2.8515625" style="0" bestFit="1" customWidth="1"/>
    <col min="3" max="3" width="16.57421875" style="0" bestFit="1" customWidth="1"/>
    <col min="4" max="4" width="12.421875" style="2" customWidth="1"/>
    <col min="5" max="5" width="12.00390625" style="2" customWidth="1"/>
    <col min="6" max="6" width="12.28125" style="0" customWidth="1"/>
    <col min="7" max="7" width="9.57421875" style="0" customWidth="1"/>
    <col min="8" max="8" width="10.57421875" style="0" bestFit="1" customWidth="1"/>
    <col min="9" max="10" width="9.57421875" style="0" customWidth="1"/>
    <col min="11" max="11" width="10.00390625" style="0" bestFit="1" customWidth="1"/>
    <col min="12" max="13" width="9.57421875" style="0" customWidth="1"/>
    <col min="14" max="14" width="11.00390625" style="0" bestFit="1" customWidth="1"/>
    <col min="15" max="16" width="9.57421875" style="0" customWidth="1"/>
    <col min="17" max="17" width="11.00390625" style="0" bestFit="1" customWidth="1"/>
    <col min="18" max="19" width="9.57421875" style="0" customWidth="1"/>
    <col min="20" max="20" width="12.00390625" style="0" bestFit="1" customWidth="1"/>
    <col min="21" max="21" width="12.00390625" style="2" customWidth="1"/>
    <col min="22" max="22" width="12.57421875" style="0" bestFit="1" customWidth="1"/>
    <col min="23" max="23" width="0.9921875" style="0" customWidth="1"/>
    <col min="24" max="24" width="13.57421875" style="0" bestFit="1" customWidth="1"/>
    <col min="25" max="25" width="12.57421875" style="0" bestFit="1" customWidth="1"/>
    <col min="26" max="26" width="13.57421875" style="0" bestFit="1" customWidth="1"/>
    <col min="27" max="27" width="11.8515625" style="0" bestFit="1" customWidth="1"/>
    <col min="28" max="28" width="10.8515625" style="0" bestFit="1" customWidth="1"/>
    <col min="38" max="38" width="12.57421875" style="0" bestFit="1" customWidth="1"/>
    <col min="39" max="39" width="13.57421875" style="0" bestFit="1" customWidth="1"/>
  </cols>
  <sheetData>
    <row r="1" spans="2:19" ht="21.75" thickBot="1">
      <c r="B1" s="3"/>
      <c r="C1" s="191" t="s">
        <v>22</v>
      </c>
      <c r="D1" s="191"/>
      <c r="E1" s="191"/>
      <c r="F1" s="19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22" ht="15.75" thickBot="1">
      <c r="B2" s="5" t="s">
        <v>0</v>
      </c>
      <c r="C2" s="193" t="s">
        <v>20</v>
      </c>
      <c r="D2" s="194"/>
      <c r="E2" s="6" t="s">
        <v>4</v>
      </c>
      <c r="F2" s="192" t="s">
        <v>1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4"/>
      <c r="U2" s="178"/>
      <c r="V2" s="6"/>
    </row>
    <row r="3" spans="2:22" ht="15.75" thickTop="1">
      <c r="B3" s="206" t="s">
        <v>8</v>
      </c>
      <c r="C3" s="199" t="s">
        <v>9</v>
      </c>
      <c r="D3" s="200"/>
      <c r="E3" s="17"/>
      <c r="F3" s="195" t="s">
        <v>28</v>
      </c>
      <c r="G3" s="195"/>
      <c r="H3" s="195"/>
      <c r="I3" s="211" t="s">
        <v>24</v>
      </c>
      <c r="J3" s="195"/>
      <c r="K3" s="212"/>
      <c r="L3" s="196" t="s">
        <v>3</v>
      </c>
      <c r="M3" s="197"/>
      <c r="N3" s="198"/>
      <c r="O3" s="195" t="s">
        <v>2</v>
      </c>
      <c r="P3" s="195"/>
      <c r="Q3" s="195"/>
      <c r="R3" s="195" t="s">
        <v>23</v>
      </c>
      <c r="S3" s="195"/>
      <c r="T3" s="209"/>
      <c r="U3" s="40" t="s">
        <v>164</v>
      </c>
      <c r="V3" s="40" t="s">
        <v>165</v>
      </c>
    </row>
    <row r="4" spans="2:22" ht="15">
      <c r="B4" s="207"/>
      <c r="C4" s="201"/>
      <c r="D4" s="202"/>
      <c r="E4" s="17"/>
      <c r="F4" s="7" t="s">
        <v>5</v>
      </c>
      <c r="G4" s="7" t="s">
        <v>6</v>
      </c>
      <c r="H4" s="7" t="s">
        <v>7</v>
      </c>
      <c r="I4" s="9" t="s">
        <v>5</v>
      </c>
      <c r="J4" s="7" t="s">
        <v>6</v>
      </c>
      <c r="K4" s="10" t="s">
        <v>7</v>
      </c>
      <c r="L4" s="7" t="s">
        <v>5</v>
      </c>
      <c r="M4" s="7" t="s">
        <v>6</v>
      </c>
      <c r="N4" s="7" t="s">
        <v>7</v>
      </c>
      <c r="O4" s="9" t="s">
        <v>5</v>
      </c>
      <c r="P4" s="7" t="s">
        <v>6</v>
      </c>
      <c r="Q4" s="10" t="s">
        <v>7</v>
      </c>
      <c r="R4" s="7" t="s">
        <v>5</v>
      </c>
      <c r="S4" s="7" t="s">
        <v>6</v>
      </c>
      <c r="T4" s="13" t="s">
        <v>7</v>
      </c>
      <c r="U4" s="179" t="s">
        <v>163</v>
      </c>
      <c r="V4" s="41" t="s">
        <v>163</v>
      </c>
    </row>
    <row r="5" spans="2:40" ht="15">
      <c r="B5" s="207"/>
      <c r="C5" s="201"/>
      <c r="D5" s="203"/>
      <c r="E5" s="11" t="s">
        <v>21</v>
      </c>
      <c r="F5" s="43">
        <v>10</v>
      </c>
      <c r="G5" s="19">
        <v>4</v>
      </c>
      <c r="H5" s="19">
        <f>G5*F5</f>
        <v>40</v>
      </c>
      <c r="I5" s="37">
        <f>+I6*0.33</f>
        <v>304.26</v>
      </c>
      <c r="J5" s="19">
        <v>1.5</v>
      </c>
      <c r="K5" s="21">
        <f>J5*I5</f>
        <v>456.39</v>
      </c>
      <c r="L5" s="20"/>
      <c r="M5" s="19">
        <v>6</v>
      </c>
      <c r="N5" s="22">
        <f>M5*L5</f>
        <v>0</v>
      </c>
      <c r="O5" s="19"/>
      <c r="P5" s="19">
        <v>0.33</v>
      </c>
      <c r="Q5" s="21">
        <f>P5*O5</f>
        <v>0</v>
      </c>
      <c r="R5" s="18"/>
      <c r="S5" s="19">
        <v>2</v>
      </c>
      <c r="T5" s="23">
        <f>S5*R5</f>
        <v>0</v>
      </c>
      <c r="U5" s="23">
        <f>SUM(H5,K5,N5,Q5,T5)*$T$56</f>
        <v>39.7112</v>
      </c>
      <c r="V5" s="23">
        <f>+H5+K5+N5+Q5+T5+U5</f>
        <v>536.1012</v>
      </c>
      <c r="X5" s="45"/>
      <c r="AL5" s="1"/>
      <c r="AM5" s="1"/>
      <c r="AN5" s="1"/>
    </row>
    <row r="6" spans="2:40" ht="15">
      <c r="B6" s="207"/>
      <c r="C6" s="201"/>
      <c r="D6" s="203"/>
      <c r="E6" s="11">
        <v>1</v>
      </c>
      <c r="F6" s="43">
        <f>0.31*375</f>
        <v>116.25</v>
      </c>
      <c r="G6" s="19">
        <v>4</v>
      </c>
      <c r="H6" s="19">
        <f>G6*F6</f>
        <v>465</v>
      </c>
      <c r="I6" s="20">
        <f>+(Quantities!$E$18+Quantities!$F$18)*0.4</f>
        <v>922</v>
      </c>
      <c r="J6" s="19">
        <v>1.5</v>
      </c>
      <c r="K6" s="21">
        <f>J6*I6</f>
        <v>1383</v>
      </c>
      <c r="L6" s="20"/>
      <c r="M6" s="19">
        <v>6</v>
      </c>
      <c r="N6" s="19">
        <f>M6*L6</f>
        <v>0</v>
      </c>
      <c r="O6" s="20"/>
      <c r="P6" s="19">
        <v>0.33</v>
      </c>
      <c r="Q6" s="21">
        <f>P6*O6</f>
        <v>0</v>
      </c>
      <c r="R6" s="18"/>
      <c r="S6" s="19">
        <v>2</v>
      </c>
      <c r="T6" s="23">
        <f>S6*R6</f>
        <v>0</v>
      </c>
      <c r="U6" s="23">
        <f>SUM(H6,K6,N6,Q6,T6)*$T$56</f>
        <v>147.84</v>
      </c>
      <c r="V6" s="23">
        <f>+H6+K6+N6+Q6+T6+U6</f>
        <v>1995.84</v>
      </c>
      <c r="X6" s="45"/>
      <c r="AK6" s="2"/>
      <c r="AL6" s="1"/>
      <c r="AM6" s="1"/>
      <c r="AN6" s="1"/>
    </row>
    <row r="7" spans="2:40" s="2" customFormat="1" ht="15">
      <c r="B7" s="207"/>
      <c r="C7" s="201"/>
      <c r="D7" s="203"/>
      <c r="E7" s="11">
        <v>2</v>
      </c>
      <c r="F7" s="18" t="s">
        <v>25</v>
      </c>
      <c r="G7" s="19" t="s">
        <v>25</v>
      </c>
      <c r="H7" s="19"/>
      <c r="I7" s="20" t="s">
        <v>25</v>
      </c>
      <c r="J7" s="19" t="s">
        <v>25</v>
      </c>
      <c r="K7" s="21"/>
      <c r="L7" s="18">
        <f>1900*1.3</f>
        <v>2470</v>
      </c>
      <c r="M7" s="19">
        <v>6</v>
      </c>
      <c r="N7" s="19">
        <f>M7*L7</f>
        <v>14820</v>
      </c>
      <c r="O7" s="20"/>
      <c r="P7" s="19">
        <v>0.33</v>
      </c>
      <c r="Q7" s="21">
        <f>P7*O7</f>
        <v>0</v>
      </c>
      <c r="R7" s="18"/>
      <c r="S7" s="19">
        <v>2</v>
      </c>
      <c r="T7" s="23">
        <f>S7*R7</f>
        <v>0</v>
      </c>
      <c r="U7" s="23">
        <f>SUM(H7,K7,N7,Q7,T7)*$T$56</f>
        <v>1185.6000000000001</v>
      </c>
      <c r="V7" s="23">
        <f>+H7+K7+N7+Q7+T7+U7</f>
        <v>16005.6</v>
      </c>
      <c r="X7" s="45"/>
      <c r="AL7" s="1"/>
      <c r="AM7" s="1"/>
      <c r="AN7" s="1"/>
    </row>
    <row r="8" spans="2:40" s="2" customFormat="1" ht="15">
      <c r="B8" s="207"/>
      <c r="C8" s="201"/>
      <c r="D8" s="203"/>
      <c r="E8" s="11">
        <v>3</v>
      </c>
      <c r="F8" s="18" t="s">
        <v>25</v>
      </c>
      <c r="G8" s="19" t="s">
        <v>25</v>
      </c>
      <c r="H8" s="19"/>
      <c r="I8" s="20" t="s">
        <v>25</v>
      </c>
      <c r="J8" s="19" t="s">
        <v>25</v>
      </c>
      <c r="K8" s="21"/>
      <c r="L8" s="20"/>
      <c r="M8" s="19">
        <v>6</v>
      </c>
      <c r="N8" s="19">
        <f>M8*L8</f>
        <v>0</v>
      </c>
      <c r="O8" s="104">
        <f>+Quantities!D18*Quantities!H19</f>
        <v>67349.33333333334</v>
      </c>
      <c r="P8" s="19">
        <v>0.33</v>
      </c>
      <c r="Q8" s="21">
        <f>P8*O8</f>
        <v>22225.280000000002</v>
      </c>
      <c r="R8" s="18"/>
      <c r="S8" s="19">
        <v>2</v>
      </c>
      <c r="T8" s="23">
        <f>S8*R8</f>
        <v>0</v>
      </c>
      <c r="U8" s="23">
        <f>SUM(H8,K8,N8,Q8,T8)*$T$56</f>
        <v>1778.0224000000003</v>
      </c>
      <c r="V8" s="23">
        <f>+H8+K8+N8+Q8+T8+U8</f>
        <v>24003.302400000004</v>
      </c>
      <c r="X8" s="45"/>
      <c r="AL8" s="1"/>
      <c r="AM8" s="1"/>
      <c r="AN8" s="1"/>
    </row>
    <row r="9" spans="2:40" s="2" customFormat="1" ht="15.75" thickBot="1">
      <c r="B9" s="208"/>
      <c r="C9" s="204"/>
      <c r="D9" s="205"/>
      <c r="E9" s="12">
        <v>4</v>
      </c>
      <c r="F9" s="24" t="s">
        <v>25</v>
      </c>
      <c r="G9" s="25" t="s">
        <v>25</v>
      </c>
      <c r="H9" s="25"/>
      <c r="I9" s="26" t="s">
        <v>25</v>
      </c>
      <c r="J9" s="25" t="s">
        <v>25</v>
      </c>
      <c r="K9" s="27"/>
      <c r="L9" s="20"/>
      <c r="M9" s="19">
        <v>6</v>
      </c>
      <c r="N9" s="25">
        <f>M9*L9</f>
        <v>0</v>
      </c>
      <c r="O9" s="26"/>
      <c r="P9" s="19">
        <v>0.33</v>
      </c>
      <c r="Q9" s="27">
        <f>P9*O9</f>
        <v>0</v>
      </c>
      <c r="R9" s="105">
        <f>+O8</f>
        <v>67349.33333333334</v>
      </c>
      <c r="S9" s="25">
        <v>2</v>
      </c>
      <c r="T9" s="28">
        <f>S9*R9</f>
        <v>134698.6666666667</v>
      </c>
      <c r="U9" s="23">
        <f>SUM(H9,K9,N9,Q9,T9)*$T$56</f>
        <v>10775.893333333335</v>
      </c>
      <c r="V9" s="184">
        <f>+H9+K9+N9+Q9+T9+U9</f>
        <v>145474.56000000003</v>
      </c>
      <c r="X9" s="45"/>
      <c r="AK9"/>
      <c r="AL9" s="1"/>
      <c r="AM9" s="1"/>
      <c r="AN9" s="1"/>
    </row>
    <row r="10" spans="2:39" ht="15.75" thickTop="1">
      <c r="B10" s="206" t="s">
        <v>10</v>
      </c>
      <c r="C10" s="199" t="s">
        <v>11</v>
      </c>
      <c r="D10" s="200"/>
      <c r="E10" s="17"/>
      <c r="F10" s="195" t="s">
        <v>28</v>
      </c>
      <c r="G10" s="195"/>
      <c r="H10" s="195"/>
      <c r="I10" s="196" t="s">
        <v>24</v>
      </c>
      <c r="J10" s="197"/>
      <c r="K10" s="198"/>
      <c r="L10" s="196" t="s">
        <v>3</v>
      </c>
      <c r="M10" s="197"/>
      <c r="N10" s="198"/>
      <c r="O10" s="196" t="s">
        <v>2</v>
      </c>
      <c r="P10" s="197"/>
      <c r="Q10" s="198"/>
      <c r="R10" s="196" t="s">
        <v>23</v>
      </c>
      <c r="S10" s="197"/>
      <c r="T10" s="210"/>
      <c r="U10" s="185" t="s">
        <v>164</v>
      </c>
      <c r="V10" s="186" t="s">
        <v>165</v>
      </c>
      <c r="AM10" s="1"/>
    </row>
    <row r="11" spans="2:41" ht="15">
      <c r="B11" s="207"/>
      <c r="C11" s="201"/>
      <c r="D11" s="202"/>
      <c r="E11" s="17"/>
      <c r="F11" s="8" t="s">
        <v>5</v>
      </c>
      <c r="G11" s="8" t="s">
        <v>6</v>
      </c>
      <c r="H11" s="8" t="s">
        <v>7</v>
      </c>
      <c r="I11" s="15" t="s">
        <v>5</v>
      </c>
      <c r="J11" s="8" t="s">
        <v>6</v>
      </c>
      <c r="K11" s="16" t="s">
        <v>7</v>
      </c>
      <c r="L11" s="8" t="s">
        <v>5</v>
      </c>
      <c r="M11" s="8" t="s">
        <v>6</v>
      </c>
      <c r="N11" s="8" t="s">
        <v>7</v>
      </c>
      <c r="O11" s="15" t="s">
        <v>5</v>
      </c>
      <c r="P11" s="8" t="s">
        <v>6</v>
      </c>
      <c r="Q11" s="16" t="s">
        <v>7</v>
      </c>
      <c r="R11" s="8" t="s">
        <v>5</v>
      </c>
      <c r="S11" s="8" t="s">
        <v>6</v>
      </c>
      <c r="T11" s="14" t="s">
        <v>7</v>
      </c>
      <c r="U11" s="179" t="s">
        <v>163</v>
      </c>
      <c r="V11" s="41" t="s">
        <v>163</v>
      </c>
      <c r="AL11" s="1"/>
      <c r="AO11" s="1"/>
    </row>
    <row r="12" spans="2:40" ht="15">
      <c r="B12" s="207"/>
      <c r="C12" s="201"/>
      <c r="D12" s="203"/>
      <c r="E12" s="11" t="s">
        <v>21</v>
      </c>
      <c r="F12" s="43">
        <v>10</v>
      </c>
      <c r="G12" s="19">
        <f>G5</f>
        <v>4</v>
      </c>
      <c r="H12" s="19">
        <f>G12*F12</f>
        <v>40</v>
      </c>
      <c r="I12" s="37">
        <f>+I13*0.3333</f>
        <v>83.325</v>
      </c>
      <c r="J12" s="19">
        <f>J5</f>
        <v>1.5</v>
      </c>
      <c r="K12" s="21">
        <f>J12*I12</f>
        <v>124.98750000000001</v>
      </c>
      <c r="L12" s="18"/>
      <c r="M12" s="19">
        <f>M5</f>
        <v>6</v>
      </c>
      <c r="N12" s="19">
        <f>M12*L12</f>
        <v>0</v>
      </c>
      <c r="O12" s="29"/>
      <c r="P12" s="19">
        <f>P5</f>
        <v>0.33</v>
      </c>
      <c r="Q12" s="21">
        <f>P12*O12</f>
        <v>0</v>
      </c>
      <c r="R12" s="18"/>
      <c r="S12" s="19">
        <f>S5</f>
        <v>2</v>
      </c>
      <c r="T12" s="23">
        <f>S12*R12</f>
        <v>0</v>
      </c>
      <c r="U12" s="23">
        <f>SUM(H12,K12,N12,Q12,T12)*$T$56</f>
        <v>13.199000000000002</v>
      </c>
      <c r="V12" s="23">
        <f>+H12+K12+N12+Q12+T12+U12</f>
        <v>178.18650000000002</v>
      </c>
      <c r="AM12" s="1"/>
      <c r="AN12" s="2"/>
    </row>
    <row r="13" spans="2:40" ht="15">
      <c r="B13" s="207"/>
      <c r="C13" s="201"/>
      <c r="D13" s="203"/>
      <c r="E13" s="11">
        <v>1</v>
      </c>
      <c r="F13" s="43">
        <v>40</v>
      </c>
      <c r="G13" s="19">
        <f>G6</f>
        <v>4</v>
      </c>
      <c r="H13" s="19">
        <f>G13*F13</f>
        <v>160</v>
      </c>
      <c r="I13" s="37">
        <f>+(Quantities!E24+Quantities!F24)*0.4</f>
        <v>250</v>
      </c>
      <c r="J13" s="19">
        <f>J6</f>
        <v>1.5</v>
      </c>
      <c r="K13" s="21">
        <f>J13*I13</f>
        <v>375</v>
      </c>
      <c r="L13" s="18"/>
      <c r="M13" s="19">
        <f>M6</f>
        <v>6</v>
      </c>
      <c r="N13" s="19">
        <f>M13*L13</f>
        <v>0</v>
      </c>
      <c r="O13" s="20"/>
      <c r="P13" s="19">
        <f>P6</f>
        <v>0.33</v>
      </c>
      <c r="Q13" s="21">
        <f>P13*O13</f>
        <v>0</v>
      </c>
      <c r="R13" s="18"/>
      <c r="S13" s="19">
        <f>S6</f>
        <v>2</v>
      </c>
      <c r="T13" s="23">
        <f>S13*R13</f>
        <v>0</v>
      </c>
      <c r="U13" s="23">
        <f>SUM(H13,K13,N13,Q13,T13)*$T$56</f>
        <v>42.800000000000004</v>
      </c>
      <c r="V13" s="23">
        <f>+H13+K13+N13+Q13+T13+U13</f>
        <v>577.8</v>
      </c>
      <c r="AM13" s="1"/>
      <c r="AN13" s="2"/>
    </row>
    <row r="14" spans="2:39" s="2" customFormat="1" ht="15">
      <c r="B14" s="207"/>
      <c r="C14" s="201"/>
      <c r="D14" s="203"/>
      <c r="E14" s="11">
        <v>2</v>
      </c>
      <c r="F14" s="18" t="s">
        <v>25</v>
      </c>
      <c r="G14" s="19" t="s">
        <v>25</v>
      </c>
      <c r="H14" s="35"/>
      <c r="I14" s="18" t="s">
        <v>25</v>
      </c>
      <c r="J14" s="19" t="s">
        <v>25</v>
      </c>
      <c r="K14" s="35"/>
      <c r="L14" s="18">
        <f>150*1.3</f>
        <v>195</v>
      </c>
      <c r="M14" s="19">
        <f>M7</f>
        <v>6</v>
      </c>
      <c r="N14" s="19">
        <f>M14*L14</f>
        <v>1170</v>
      </c>
      <c r="O14" s="20"/>
      <c r="P14" s="19">
        <f>P7</f>
        <v>0.33</v>
      </c>
      <c r="Q14" s="21">
        <f>P14*O14</f>
        <v>0</v>
      </c>
      <c r="R14" s="18"/>
      <c r="S14" s="19">
        <f>S7</f>
        <v>2</v>
      </c>
      <c r="T14" s="23">
        <f>S14*R14</f>
        <v>0</v>
      </c>
      <c r="U14" s="23">
        <f>SUM(H14,K14,N14,Q14,T14)*$T$56</f>
        <v>93.60000000000001</v>
      </c>
      <c r="V14" s="23">
        <f>+H14+K14+N14+Q14+T14+U14</f>
        <v>1263.6</v>
      </c>
      <c r="AM14" s="1"/>
    </row>
    <row r="15" spans="2:40" ht="15">
      <c r="B15" s="207"/>
      <c r="C15" s="201"/>
      <c r="D15" s="203"/>
      <c r="E15" s="11">
        <v>3</v>
      </c>
      <c r="F15" s="18" t="s">
        <v>25</v>
      </c>
      <c r="G15" s="19" t="s">
        <v>25</v>
      </c>
      <c r="H15" s="35"/>
      <c r="I15" s="18" t="s">
        <v>25</v>
      </c>
      <c r="J15" s="19" t="s">
        <v>25</v>
      </c>
      <c r="K15" s="35"/>
      <c r="L15" s="18"/>
      <c r="M15" s="19">
        <f>M8</f>
        <v>6</v>
      </c>
      <c r="N15" s="19">
        <f>M15*L15</f>
        <v>0</v>
      </c>
      <c r="O15" s="104">
        <f>+Quantities!D24*Quantities!H25</f>
        <v>9660</v>
      </c>
      <c r="P15" s="19">
        <f>P8</f>
        <v>0.33</v>
      </c>
      <c r="Q15" s="21">
        <f>P15*O15</f>
        <v>3187.8</v>
      </c>
      <c r="R15" s="18"/>
      <c r="S15" s="19">
        <f>S8</f>
        <v>2</v>
      </c>
      <c r="T15" s="23">
        <f>S15*R15</f>
        <v>0</v>
      </c>
      <c r="U15" s="23">
        <f>SUM(H15,K15,N15,Q15,T15)*$T$56</f>
        <v>255.02400000000003</v>
      </c>
      <c r="V15" s="23">
        <f>+H15+K15+N15+Q15+T15+U15</f>
        <v>3442.824</v>
      </c>
      <c r="AM15" s="1"/>
      <c r="AN15" s="2"/>
    </row>
    <row r="16" spans="2:39" ht="15.75" thickBot="1">
      <c r="B16" s="208"/>
      <c r="C16" s="204"/>
      <c r="D16" s="205"/>
      <c r="E16" s="12">
        <v>4</v>
      </c>
      <c r="F16" s="24" t="s">
        <v>25</v>
      </c>
      <c r="G16" s="25" t="s">
        <v>25</v>
      </c>
      <c r="H16" s="27"/>
      <c r="I16" s="24" t="s">
        <v>25</v>
      </c>
      <c r="J16" s="25" t="s">
        <v>25</v>
      </c>
      <c r="K16" s="27"/>
      <c r="L16" s="24"/>
      <c r="M16" s="25">
        <f>M9</f>
        <v>6</v>
      </c>
      <c r="N16" s="19">
        <f>M16*L16</f>
        <v>0</v>
      </c>
      <c r="O16" s="26"/>
      <c r="P16" s="25">
        <f>P9</f>
        <v>0.33</v>
      </c>
      <c r="Q16" s="27">
        <f>P16*O16</f>
        <v>0</v>
      </c>
      <c r="R16" s="105">
        <f>+O15</f>
        <v>9660</v>
      </c>
      <c r="S16" s="25">
        <f>S9</f>
        <v>2</v>
      </c>
      <c r="T16" s="28">
        <f>S16*R16</f>
        <v>19320</v>
      </c>
      <c r="U16" s="184">
        <f>SUM(H16,K16,N16,Q16,T16)*$T$56</f>
        <v>1545.6000000000001</v>
      </c>
      <c r="V16" s="184">
        <f>+H16+K16+N16+Q16+T16+U16</f>
        <v>20865.6</v>
      </c>
      <c r="AM16" s="1"/>
    </row>
    <row r="17" spans="2:39" ht="15.75" thickTop="1">
      <c r="B17" s="206" t="s">
        <v>12</v>
      </c>
      <c r="C17" s="199" t="s">
        <v>13</v>
      </c>
      <c r="D17" s="200"/>
      <c r="E17" s="17"/>
      <c r="F17" s="195" t="s">
        <v>28</v>
      </c>
      <c r="G17" s="195"/>
      <c r="H17" s="195"/>
      <c r="I17" s="196" t="s">
        <v>24</v>
      </c>
      <c r="J17" s="197"/>
      <c r="K17" s="198"/>
      <c r="L17" s="196" t="s">
        <v>3</v>
      </c>
      <c r="M17" s="197"/>
      <c r="N17" s="198"/>
      <c r="O17" s="196" t="s">
        <v>2</v>
      </c>
      <c r="P17" s="197"/>
      <c r="Q17" s="198"/>
      <c r="R17" s="196" t="s">
        <v>23</v>
      </c>
      <c r="S17" s="197"/>
      <c r="T17" s="210"/>
      <c r="U17" s="185" t="s">
        <v>164</v>
      </c>
      <c r="V17" s="186" t="s">
        <v>165</v>
      </c>
      <c r="AM17" s="1"/>
    </row>
    <row r="18" spans="2:38" ht="15">
      <c r="B18" s="207"/>
      <c r="C18" s="201"/>
      <c r="D18" s="202"/>
      <c r="E18" s="17"/>
      <c r="F18" s="8" t="s">
        <v>5</v>
      </c>
      <c r="G18" s="8" t="s">
        <v>6</v>
      </c>
      <c r="H18" s="8" t="s">
        <v>7</v>
      </c>
      <c r="I18" s="15" t="s">
        <v>5</v>
      </c>
      <c r="J18" s="8" t="s">
        <v>6</v>
      </c>
      <c r="K18" s="16" t="s">
        <v>7</v>
      </c>
      <c r="L18" s="8" t="s">
        <v>5</v>
      </c>
      <c r="M18" s="8" t="s">
        <v>6</v>
      </c>
      <c r="N18" s="8" t="s">
        <v>7</v>
      </c>
      <c r="O18" s="15" t="s">
        <v>5</v>
      </c>
      <c r="P18" s="8" t="s">
        <v>6</v>
      </c>
      <c r="Q18" s="16" t="s">
        <v>7</v>
      </c>
      <c r="R18" s="8" t="s">
        <v>5</v>
      </c>
      <c r="S18" s="8" t="s">
        <v>6</v>
      </c>
      <c r="T18" s="14" t="s">
        <v>7</v>
      </c>
      <c r="U18" s="41" t="s">
        <v>163</v>
      </c>
      <c r="V18" s="41" t="s">
        <v>163</v>
      </c>
      <c r="AL18" s="1"/>
    </row>
    <row r="19" spans="2:39" ht="15">
      <c r="B19" s="207"/>
      <c r="C19" s="201"/>
      <c r="D19" s="203"/>
      <c r="E19" s="11" t="s">
        <v>21</v>
      </c>
      <c r="F19" s="18">
        <v>10</v>
      </c>
      <c r="G19" s="19">
        <f>G5</f>
        <v>4</v>
      </c>
      <c r="H19" s="19">
        <f>G19*F19</f>
        <v>40</v>
      </c>
      <c r="I19" s="37">
        <f>+I20*0.3333</f>
        <v>404.75952</v>
      </c>
      <c r="J19" s="19">
        <f>J12</f>
        <v>1.5</v>
      </c>
      <c r="K19" s="21">
        <f>J19*I19</f>
        <v>607.13928</v>
      </c>
      <c r="L19" s="18"/>
      <c r="M19" s="19">
        <f>M5</f>
        <v>6</v>
      </c>
      <c r="N19" s="22">
        <f>M19*L19</f>
        <v>0</v>
      </c>
      <c r="O19" s="19"/>
      <c r="P19" s="19">
        <f>P12</f>
        <v>0.33</v>
      </c>
      <c r="Q19" s="21">
        <f>P19*O19</f>
        <v>0</v>
      </c>
      <c r="R19" s="18"/>
      <c r="S19" s="19">
        <f>S12</f>
        <v>2</v>
      </c>
      <c r="T19" s="23">
        <f>S19*R19</f>
        <v>0</v>
      </c>
      <c r="U19" s="23">
        <f>SUM(H19,K19,N19,Q19,T19)*$T$56</f>
        <v>51.7711424</v>
      </c>
      <c r="V19" s="23">
        <f>+H19+K19+N19+Q19+T19+U19</f>
        <v>698.9104224</v>
      </c>
      <c r="AL19" s="2"/>
      <c r="AM19" s="1"/>
    </row>
    <row r="20" spans="2:39" ht="15">
      <c r="B20" s="207"/>
      <c r="C20" s="201"/>
      <c r="D20" s="203"/>
      <c r="E20" s="11">
        <v>1</v>
      </c>
      <c r="F20" s="18">
        <v>100</v>
      </c>
      <c r="G20" s="19">
        <f>G6</f>
        <v>4</v>
      </c>
      <c r="H20" s="19">
        <f>G20*F20</f>
        <v>400</v>
      </c>
      <c r="I20" s="37">
        <f>+(Quantities!E47+Quantities!F47)*0.4</f>
        <v>1214.4</v>
      </c>
      <c r="J20" s="19">
        <f>J13</f>
        <v>1.5</v>
      </c>
      <c r="K20" s="21">
        <f>J20*I20</f>
        <v>1821.6000000000001</v>
      </c>
      <c r="L20" s="18"/>
      <c r="M20" s="19">
        <f>M6</f>
        <v>6</v>
      </c>
      <c r="N20" s="19">
        <f>M20*L20</f>
        <v>0</v>
      </c>
      <c r="O20" s="20"/>
      <c r="P20" s="19">
        <f>P13</f>
        <v>0.33</v>
      </c>
      <c r="Q20" s="21">
        <f>P20*O20</f>
        <v>0</v>
      </c>
      <c r="R20" s="18"/>
      <c r="S20" s="19">
        <f>S13</f>
        <v>2</v>
      </c>
      <c r="T20" s="23">
        <f>S20*R20</f>
        <v>0</v>
      </c>
      <c r="U20" s="23">
        <f>SUM(H20,K20,N20,Q20,T20)*$T$56</f>
        <v>177.72800000000004</v>
      </c>
      <c r="V20" s="23">
        <f>+H20+K20+N20+Q20+T20+U20</f>
        <v>2399.3280000000004</v>
      </c>
      <c r="AL20" s="2"/>
      <c r="AM20" s="1"/>
    </row>
    <row r="21" spans="2:39" s="2" customFormat="1" ht="15">
      <c r="B21" s="207"/>
      <c r="C21" s="201"/>
      <c r="D21" s="203"/>
      <c r="E21" s="11">
        <v>2</v>
      </c>
      <c r="F21" s="18" t="s">
        <v>25</v>
      </c>
      <c r="G21" s="19" t="s">
        <v>25</v>
      </c>
      <c r="H21" s="35"/>
      <c r="I21" s="18" t="s">
        <v>25</v>
      </c>
      <c r="J21" s="19" t="s">
        <v>25</v>
      </c>
      <c r="K21" s="35"/>
      <c r="L21" s="18">
        <f>1330*1.3</f>
        <v>1729</v>
      </c>
      <c r="M21" s="19">
        <f>M7</f>
        <v>6</v>
      </c>
      <c r="N21" s="19">
        <f>M21*L21</f>
        <v>10374</v>
      </c>
      <c r="O21" s="20"/>
      <c r="P21" s="19">
        <f>P14</f>
        <v>0.33</v>
      </c>
      <c r="Q21" s="21">
        <f>P21*O21</f>
        <v>0</v>
      </c>
      <c r="R21" s="18"/>
      <c r="S21" s="19">
        <f>S14</f>
        <v>2</v>
      </c>
      <c r="T21" s="23">
        <f>S21*R21</f>
        <v>0</v>
      </c>
      <c r="U21" s="23">
        <f>SUM(H21,K21,N21,Q21,T21)*$T$56</f>
        <v>829.9200000000001</v>
      </c>
      <c r="V21" s="23">
        <f>+H21+K21+N21+Q21+T21+U21</f>
        <v>11203.92</v>
      </c>
      <c r="AM21" s="1"/>
    </row>
    <row r="22" spans="2:39" ht="15">
      <c r="B22" s="207"/>
      <c r="C22" s="201"/>
      <c r="D22" s="203"/>
      <c r="E22" s="11">
        <v>3</v>
      </c>
      <c r="F22" s="18" t="s">
        <v>25</v>
      </c>
      <c r="G22" s="19" t="s">
        <v>25</v>
      </c>
      <c r="H22" s="35"/>
      <c r="I22" s="18" t="s">
        <v>25</v>
      </c>
      <c r="J22" s="19" t="s">
        <v>25</v>
      </c>
      <c r="K22" s="21"/>
      <c r="L22" s="18"/>
      <c r="M22" s="19">
        <f>M8</f>
        <v>6</v>
      </c>
      <c r="N22" s="19">
        <f>M22*L22</f>
        <v>0</v>
      </c>
      <c r="O22" s="104">
        <f>+Quantities!D47*Quantities!H48</f>
        <v>90243.74999999999</v>
      </c>
      <c r="P22" s="19">
        <f>P15</f>
        <v>0.33</v>
      </c>
      <c r="Q22" s="21">
        <f>P22*O22</f>
        <v>29780.437499999996</v>
      </c>
      <c r="R22" s="18"/>
      <c r="S22" s="19">
        <f>S15</f>
        <v>2</v>
      </c>
      <c r="T22" s="23">
        <f>S22*R22</f>
        <v>0</v>
      </c>
      <c r="U22" s="23">
        <f>SUM(H22,K22,N22,Q22,T22)*$T$56</f>
        <v>2382.435</v>
      </c>
      <c r="V22" s="23">
        <f>+H22+K22+N22+Q22+T22+U22</f>
        <v>32162.872499999998</v>
      </c>
      <c r="AL22" s="2"/>
      <c r="AM22" s="1"/>
    </row>
    <row r="23" spans="2:39" ht="15.75" thickBot="1">
      <c r="B23" s="208"/>
      <c r="C23" s="204"/>
      <c r="D23" s="205"/>
      <c r="E23" s="12">
        <v>4</v>
      </c>
      <c r="F23" s="24" t="s">
        <v>25</v>
      </c>
      <c r="G23" s="25" t="s">
        <v>25</v>
      </c>
      <c r="H23" s="27"/>
      <c r="I23" s="24" t="s">
        <v>25</v>
      </c>
      <c r="J23" s="25" t="s">
        <v>25</v>
      </c>
      <c r="K23" s="27"/>
      <c r="L23" s="24"/>
      <c r="M23" s="25">
        <f>M9</f>
        <v>6</v>
      </c>
      <c r="N23" s="25">
        <f>M23*L23</f>
        <v>0</v>
      </c>
      <c r="O23" s="26"/>
      <c r="P23" s="25">
        <f>P16</f>
        <v>0.33</v>
      </c>
      <c r="Q23" s="27">
        <f>P23*O23</f>
        <v>0</v>
      </c>
      <c r="R23" s="105">
        <f>+O22</f>
        <v>90243.74999999999</v>
      </c>
      <c r="S23" s="25">
        <f>S16</f>
        <v>2</v>
      </c>
      <c r="T23" s="28">
        <f>S23*R23</f>
        <v>180487.49999999997</v>
      </c>
      <c r="U23" s="184">
        <f>SUM(H23,K23,N23,Q23,T23)*$T$56</f>
        <v>14438.999999999998</v>
      </c>
      <c r="V23" s="28">
        <f>+H23+K23+N23+Q23+T23+U23</f>
        <v>194926.49999999997</v>
      </c>
      <c r="AL23" s="2"/>
      <c r="AM23" s="1"/>
    </row>
    <row r="24" spans="2:39" ht="15.75" thickTop="1">
      <c r="B24" s="206" t="s">
        <v>14</v>
      </c>
      <c r="C24" s="199" t="s">
        <v>15</v>
      </c>
      <c r="D24" s="200"/>
      <c r="E24" s="17"/>
      <c r="F24" s="195" t="s">
        <v>28</v>
      </c>
      <c r="G24" s="195"/>
      <c r="H24" s="195"/>
      <c r="I24" s="196" t="s">
        <v>24</v>
      </c>
      <c r="J24" s="197"/>
      <c r="K24" s="198"/>
      <c r="L24" s="196" t="s">
        <v>3</v>
      </c>
      <c r="M24" s="197"/>
      <c r="N24" s="198"/>
      <c r="O24" s="196" t="s">
        <v>2</v>
      </c>
      <c r="P24" s="197"/>
      <c r="Q24" s="198"/>
      <c r="R24" s="196" t="s">
        <v>23</v>
      </c>
      <c r="S24" s="197"/>
      <c r="T24" s="210"/>
      <c r="U24" s="185" t="s">
        <v>164</v>
      </c>
      <c r="V24" s="40" t="s">
        <v>165</v>
      </c>
      <c r="AL24" s="2"/>
      <c r="AM24" s="1"/>
    </row>
    <row r="25" spans="2:39" ht="15">
      <c r="B25" s="207"/>
      <c r="C25" s="201"/>
      <c r="D25" s="202"/>
      <c r="E25" s="17"/>
      <c r="F25" s="8" t="s">
        <v>5</v>
      </c>
      <c r="G25" s="8" t="s">
        <v>6</v>
      </c>
      <c r="H25" s="8" t="s">
        <v>7</v>
      </c>
      <c r="I25" s="15" t="s">
        <v>5</v>
      </c>
      <c r="J25" s="8" t="s">
        <v>6</v>
      </c>
      <c r="K25" s="16" t="s">
        <v>7</v>
      </c>
      <c r="L25" s="8" t="s">
        <v>5</v>
      </c>
      <c r="M25" s="8" t="s">
        <v>6</v>
      </c>
      <c r="N25" s="8" t="s">
        <v>7</v>
      </c>
      <c r="O25" s="15" t="s">
        <v>5</v>
      </c>
      <c r="P25" s="8" t="s">
        <v>6</v>
      </c>
      <c r="Q25" s="16" t="s">
        <v>7</v>
      </c>
      <c r="R25" s="8" t="s">
        <v>5</v>
      </c>
      <c r="S25" s="8" t="s">
        <v>6</v>
      </c>
      <c r="T25" s="14" t="s">
        <v>7</v>
      </c>
      <c r="U25" s="179" t="s">
        <v>163</v>
      </c>
      <c r="V25" s="41" t="s">
        <v>163</v>
      </c>
      <c r="AL25" s="1"/>
      <c r="AM25" s="2"/>
    </row>
    <row r="26" spans="2:39" ht="15">
      <c r="B26" s="207"/>
      <c r="C26" s="201"/>
      <c r="D26" s="203"/>
      <c r="E26" s="11" t="s">
        <v>21</v>
      </c>
      <c r="F26" s="43">
        <v>10</v>
      </c>
      <c r="G26" s="19">
        <f>G5</f>
        <v>4</v>
      </c>
      <c r="H26" s="19">
        <f>G26*F26</f>
        <v>40</v>
      </c>
      <c r="I26" s="37">
        <f>+I27*0.3333</f>
        <v>175.71576000000002</v>
      </c>
      <c r="J26" s="19">
        <f>J19</f>
        <v>1.5</v>
      </c>
      <c r="K26" s="21">
        <f>J26*I26</f>
        <v>263.57364</v>
      </c>
      <c r="L26" s="18"/>
      <c r="M26" s="19">
        <f>M5</f>
        <v>6</v>
      </c>
      <c r="N26" s="22">
        <f>M26*L26</f>
        <v>0</v>
      </c>
      <c r="O26" s="19"/>
      <c r="P26" s="19">
        <f>P19</f>
        <v>0.33</v>
      </c>
      <c r="Q26" s="21">
        <f aca="true" t="shared" si="0" ref="Q26:T30">P26*O26</f>
        <v>0</v>
      </c>
      <c r="R26" s="18"/>
      <c r="S26" s="19">
        <f>S19</f>
        <v>2</v>
      </c>
      <c r="T26" s="23">
        <f t="shared" si="0"/>
        <v>0</v>
      </c>
      <c r="U26" s="23">
        <f>SUM(H26,K26,N26,Q26,T26)*$T$56</f>
        <v>24.285891200000002</v>
      </c>
      <c r="V26" s="23">
        <f>+H26+K26+N26+Q26+T26+U26</f>
        <v>327.8595312</v>
      </c>
      <c r="AL26" s="2"/>
      <c r="AM26" s="1"/>
    </row>
    <row r="27" spans="2:39" ht="15">
      <c r="B27" s="207"/>
      <c r="C27" s="201"/>
      <c r="D27" s="203"/>
      <c r="E27" s="11">
        <v>1</v>
      </c>
      <c r="F27" s="43">
        <f>0.14*375</f>
        <v>52.50000000000001</v>
      </c>
      <c r="G27" s="19">
        <f>G6</f>
        <v>4</v>
      </c>
      <c r="H27" s="19">
        <f>G27*F27</f>
        <v>210.00000000000003</v>
      </c>
      <c r="I27" s="37">
        <f>+(Quantities!E58+Quantities!F58)*0.4</f>
        <v>527.2</v>
      </c>
      <c r="J27" s="19">
        <f>J20</f>
        <v>1.5</v>
      </c>
      <c r="K27" s="21">
        <f>J27*I27</f>
        <v>790.8000000000001</v>
      </c>
      <c r="L27" s="18"/>
      <c r="M27" s="19">
        <f>M6</f>
        <v>6</v>
      </c>
      <c r="N27" s="21">
        <f>M27*L27</f>
        <v>0</v>
      </c>
      <c r="O27" s="18"/>
      <c r="P27" s="19">
        <f>P20</f>
        <v>0.33</v>
      </c>
      <c r="Q27" s="21">
        <f t="shared" si="0"/>
        <v>0</v>
      </c>
      <c r="R27" s="18"/>
      <c r="S27" s="19">
        <f>S20</f>
        <v>2</v>
      </c>
      <c r="T27" s="23">
        <f t="shared" si="0"/>
        <v>0</v>
      </c>
      <c r="U27" s="23">
        <f>SUM(H27,K27,N27,Q27,T27)*$T$56</f>
        <v>80.06400000000001</v>
      </c>
      <c r="V27" s="23">
        <f>+H27+K27+N27+Q27+T27+U27</f>
        <v>1080.864</v>
      </c>
      <c r="AL27" s="2"/>
      <c r="AM27" s="1"/>
    </row>
    <row r="28" spans="2:39" s="2" customFormat="1" ht="15">
      <c r="B28" s="207"/>
      <c r="C28" s="201"/>
      <c r="D28" s="203"/>
      <c r="E28" s="11">
        <v>2</v>
      </c>
      <c r="F28" s="18" t="s">
        <v>25</v>
      </c>
      <c r="G28" s="19" t="s">
        <v>25</v>
      </c>
      <c r="H28" s="35"/>
      <c r="I28" s="18" t="s">
        <v>25</v>
      </c>
      <c r="J28" s="19" t="s">
        <v>25</v>
      </c>
      <c r="K28" s="35"/>
      <c r="L28" s="18">
        <f>2500*1.3</f>
        <v>3250</v>
      </c>
      <c r="M28" s="19">
        <f>M7</f>
        <v>6</v>
      </c>
      <c r="N28" s="21">
        <f>M28*L28</f>
        <v>19500</v>
      </c>
      <c r="O28" s="20"/>
      <c r="P28" s="19">
        <f>P21</f>
        <v>0.33</v>
      </c>
      <c r="Q28" s="21">
        <f t="shared" si="0"/>
        <v>0</v>
      </c>
      <c r="R28" s="18"/>
      <c r="S28" s="19">
        <f>S21</f>
        <v>2</v>
      </c>
      <c r="T28" s="23">
        <f t="shared" si="0"/>
        <v>0</v>
      </c>
      <c r="U28" s="23">
        <f>SUM(H28,K28,N28,Q28,T28)*$T$56</f>
        <v>1560</v>
      </c>
      <c r="V28" s="23">
        <f>+H28+K28+N28+Q28+T28+U28</f>
        <v>21060</v>
      </c>
      <c r="AM28" s="1"/>
    </row>
    <row r="29" spans="2:39" ht="15">
      <c r="B29" s="207"/>
      <c r="C29" s="201"/>
      <c r="D29" s="203"/>
      <c r="E29" s="11">
        <v>3</v>
      </c>
      <c r="F29" s="18" t="s">
        <v>25</v>
      </c>
      <c r="G29" s="19" t="s">
        <v>25</v>
      </c>
      <c r="H29" s="35"/>
      <c r="I29" s="18" t="s">
        <v>25</v>
      </c>
      <c r="J29" s="19" t="s">
        <v>25</v>
      </c>
      <c r="K29" s="35"/>
      <c r="L29" s="18"/>
      <c r="M29" s="19">
        <f>M8</f>
        <v>6</v>
      </c>
      <c r="N29" s="19">
        <f>M29*L29</f>
        <v>0</v>
      </c>
      <c r="O29" s="104">
        <f>+Quantities!D58*Quantities!H59</f>
        <v>31460</v>
      </c>
      <c r="P29" s="19">
        <f>P22</f>
        <v>0.33</v>
      </c>
      <c r="Q29" s="21">
        <f t="shared" si="0"/>
        <v>10381.800000000001</v>
      </c>
      <c r="R29" s="18"/>
      <c r="S29" s="19">
        <f>S22</f>
        <v>2</v>
      </c>
      <c r="T29" s="23">
        <f t="shared" si="0"/>
        <v>0</v>
      </c>
      <c r="U29" s="23">
        <f>SUM(H29,K29,N29,Q29,T29)*$T$56</f>
        <v>830.5440000000001</v>
      </c>
      <c r="V29" s="23">
        <f>+H29+K29+N29+Q29+T29+U29</f>
        <v>11212.344000000001</v>
      </c>
      <c r="AL29" s="2"/>
      <c r="AM29" s="1"/>
    </row>
    <row r="30" spans="2:39" ht="15.75" thickBot="1">
      <c r="B30" s="208"/>
      <c r="C30" s="204"/>
      <c r="D30" s="205"/>
      <c r="E30" s="12">
        <v>4</v>
      </c>
      <c r="F30" s="24" t="s">
        <v>25</v>
      </c>
      <c r="G30" s="25" t="s">
        <v>25</v>
      </c>
      <c r="H30" s="27"/>
      <c r="I30" s="24" t="s">
        <v>25</v>
      </c>
      <c r="J30" s="25" t="s">
        <v>25</v>
      </c>
      <c r="K30" s="27"/>
      <c r="L30" s="24"/>
      <c r="M30" s="25">
        <f>M9</f>
        <v>6</v>
      </c>
      <c r="N30" s="25">
        <f>M30*L30</f>
        <v>0</v>
      </c>
      <c r="O30" s="26"/>
      <c r="P30" s="25">
        <f>P23</f>
        <v>0.33</v>
      </c>
      <c r="Q30" s="21">
        <f t="shared" si="0"/>
        <v>0</v>
      </c>
      <c r="R30" s="105">
        <f>+O29</f>
        <v>31460</v>
      </c>
      <c r="S30" s="25">
        <f>S23</f>
        <v>2</v>
      </c>
      <c r="T30" s="28">
        <f t="shared" si="0"/>
        <v>62920</v>
      </c>
      <c r="U30" s="184">
        <f>SUM(H30,K30,N30,Q30,T30)*$T$56</f>
        <v>5033.6</v>
      </c>
      <c r="V30" s="28">
        <f>+H30+K30+N30+Q30+T30+U30</f>
        <v>67953.6</v>
      </c>
      <c r="AL30" s="2"/>
      <c r="AM30" s="1"/>
    </row>
    <row r="31" spans="2:39" ht="15.75" thickTop="1">
      <c r="B31" s="206" t="s">
        <v>16</v>
      </c>
      <c r="C31" s="199" t="s">
        <v>17</v>
      </c>
      <c r="D31" s="200"/>
      <c r="E31" s="17"/>
      <c r="F31" s="195" t="s">
        <v>28</v>
      </c>
      <c r="G31" s="195"/>
      <c r="H31" s="195"/>
      <c r="I31" s="196" t="s">
        <v>24</v>
      </c>
      <c r="J31" s="197"/>
      <c r="K31" s="198"/>
      <c r="L31" s="196" t="s">
        <v>3</v>
      </c>
      <c r="M31" s="197"/>
      <c r="N31" s="198"/>
      <c r="O31" s="196" t="s">
        <v>2</v>
      </c>
      <c r="P31" s="197"/>
      <c r="Q31" s="198"/>
      <c r="R31" s="196" t="s">
        <v>23</v>
      </c>
      <c r="S31" s="197"/>
      <c r="T31" s="210"/>
      <c r="U31" s="185" t="s">
        <v>164</v>
      </c>
      <c r="V31" s="40" t="s">
        <v>165</v>
      </c>
      <c r="AL31" s="2"/>
      <c r="AM31" s="1"/>
    </row>
    <row r="32" spans="2:39" ht="15">
      <c r="B32" s="207"/>
      <c r="C32" s="201"/>
      <c r="D32" s="202"/>
      <c r="E32" s="17"/>
      <c r="F32" s="8" t="s">
        <v>5</v>
      </c>
      <c r="G32" s="8" t="s">
        <v>6</v>
      </c>
      <c r="H32" s="8" t="s">
        <v>7</v>
      </c>
      <c r="I32" s="15" t="s">
        <v>5</v>
      </c>
      <c r="J32" s="8" t="s">
        <v>6</v>
      </c>
      <c r="K32" s="16" t="s">
        <v>7</v>
      </c>
      <c r="L32" s="8" t="s">
        <v>5</v>
      </c>
      <c r="M32" s="8" t="s">
        <v>6</v>
      </c>
      <c r="N32" s="8" t="s">
        <v>7</v>
      </c>
      <c r="O32" s="15" t="s">
        <v>5</v>
      </c>
      <c r="P32" s="8" t="s">
        <v>6</v>
      </c>
      <c r="Q32" s="16" t="s">
        <v>7</v>
      </c>
      <c r="R32" s="8" t="s">
        <v>5</v>
      </c>
      <c r="S32" s="8" t="s">
        <v>6</v>
      </c>
      <c r="T32" s="14" t="s">
        <v>7</v>
      </c>
      <c r="U32" s="179" t="s">
        <v>163</v>
      </c>
      <c r="V32" s="41" t="s">
        <v>163</v>
      </c>
      <c r="AL32" s="1"/>
      <c r="AM32" s="2"/>
    </row>
    <row r="33" spans="2:39" ht="15">
      <c r="B33" s="207"/>
      <c r="C33" s="201"/>
      <c r="D33" s="203"/>
      <c r="E33" s="11" t="s">
        <v>21</v>
      </c>
      <c r="F33" s="43">
        <v>0</v>
      </c>
      <c r="G33" s="19">
        <f>G5</f>
        <v>4</v>
      </c>
      <c r="H33" s="19">
        <f>G33*F33</f>
        <v>0</v>
      </c>
      <c r="I33" s="37">
        <f>+I34*0.3333</f>
        <v>71.72616000000001</v>
      </c>
      <c r="J33" s="19">
        <f>J26</f>
        <v>1.5</v>
      </c>
      <c r="K33" s="21">
        <f>J33*I33</f>
        <v>107.58924000000002</v>
      </c>
      <c r="L33" s="18"/>
      <c r="M33" s="19">
        <f>M5</f>
        <v>6</v>
      </c>
      <c r="N33" s="22">
        <f>M33*L33</f>
        <v>0</v>
      </c>
      <c r="O33" s="19"/>
      <c r="P33" s="19">
        <f>P26</f>
        <v>0.33</v>
      </c>
      <c r="Q33" s="21">
        <f>P33*O33</f>
        <v>0</v>
      </c>
      <c r="R33" s="18"/>
      <c r="S33" s="19">
        <f>S26</f>
        <v>2</v>
      </c>
      <c r="T33" s="23">
        <f>S33*R33</f>
        <v>0</v>
      </c>
      <c r="U33" s="23">
        <f>SUM(H33,K33,N33,Q33,T33)*$T$56</f>
        <v>8.607139200000002</v>
      </c>
      <c r="V33" s="23">
        <f>+H33+K33+N33+Q33+T33+U33</f>
        <v>116.19637920000002</v>
      </c>
      <c r="AL33" s="2"/>
      <c r="AM33" s="1"/>
    </row>
    <row r="34" spans="2:39" ht="15">
      <c r="B34" s="207"/>
      <c r="C34" s="201"/>
      <c r="D34" s="203"/>
      <c r="E34" s="11">
        <v>1</v>
      </c>
      <c r="F34" s="43">
        <v>0</v>
      </c>
      <c r="G34" s="19">
        <f>G6</f>
        <v>4</v>
      </c>
      <c r="H34" s="19">
        <f>G34*F34</f>
        <v>0</v>
      </c>
      <c r="I34" s="37">
        <f>+(Quantities!E64+Quantities!F64)*0.4</f>
        <v>215.20000000000002</v>
      </c>
      <c r="J34" s="19">
        <f>J27</f>
        <v>1.5</v>
      </c>
      <c r="K34" s="21">
        <f>J34*I34</f>
        <v>322.8</v>
      </c>
      <c r="L34" s="18"/>
      <c r="M34" s="19">
        <f>M6</f>
        <v>6</v>
      </c>
      <c r="N34" s="19">
        <f>M34*L34</f>
        <v>0</v>
      </c>
      <c r="O34" s="20"/>
      <c r="P34" s="19">
        <f>P27</f>
        <v>0.33</v>
      </c>
      <c r="Q34" s="21">
        <f>P34*O34</f>
        <v>0</v>
      </c>
      <c r="R34" s="18"/>
      <c r="S34" s="19">
        <f>S27</f>
        <v>2</v>
      </c>
      <c r="T34" s="23">
        <f>S34*R34</f>
        <v>0</v>
      </c>
      <c r="U34" s="23">
        <f>SUM(H34,K34,N34,Q34,T34)*$T$56</f>
        <v>25.824</v>
      </c>
      <c r="V34" s="23">
        <f>+H34+K34+N34+Q34+T34+U34</f>
        <v>348.624</v>
      </c>
      <c r="AL34" s="2"/>
      <c r="AM34" s="1"/>
    </row>
    <row r="35" spans="2:39" s="2" customFormat="1" ht="15">
      <c r="B35" s="207"/>
      <c r="C35" s="201"/>
      <c r="D35" s="203"/>
      <c r="E35" s="11">
        <v>2</v>
      </c>
      <c r="F35" s="18" t="s">
        <v>25</v>
      </c>
      <c r="G35" s="19" t="s">
        <v>25</v>
      </c>
      <c r="H35" s="35"/>
      <c r="I35" s="18" t="s">
        <v>25</v>
      </c>
      <c r="J35" s="19" t="s">
        <v>25</v>
      </c>
      <c r="K35" s="35"/>
      <c r="L35" s="18">
        <f>150*1.3</f>
        <v>195</v>
      </c>
      <c r="M35" s="19">
        <f>M7</f>
        <v>6</v>
      </c>
      <c r="N35" s="19">
        <f>M35*L35</f>
        <v>1170</v>
      </c>
      <c r="O35" s="20"/>
      <c r="P35" s="19">
        <f>P28</f>
        <v>0.33</v>
      </c>
      <c r="Q35" s="21">
        <f>P35*O35</f>
        <v>0</v>
      </c>
      <c r="R35" s="18"/>
      <c r="S35" s="19">
        <f>S28</f>
        <v>2</v>
      </c>
      <c r="T35" s="23">
        <f>S35*R35</f>
        <v>0</v>
      </c>
      <c r="U35" s="23">
        <f>SUM(H35,K35,N35,Q35,T35)*$T$56</f>
        <v>93.60000000000001</v>
      </c>
      <c r="V35" s="23">
        <f>+H35+K35+N35+Q35+T35+U35</f>
        <v>1263.6</v>
      </c>
      <c r="AM35" s="1"/>
    </row>
    <row r="36" spans="2:39" ht="15">
      <c r="B36" s="207"/>
      <c r="C36" s="201"/>
      <c r="D36" s="203"/>
      <c r="E36" s="11">
        <v>3</v>
      </c>
      <c r="F36" s="18" t="s">
        <v>25</v>
      </c>
      <c r="G36" s="19" t="s">
        <v>25</v>
      </c>
      <c r="H36" s="35"/>
      <c r="I36" s="18" t="s">
        <v>25</v>
      </c>
      <c r="J36" s="19" t="s">
        <v>25</v>
      </c>
      <c r="K36" s="35"/>
      <c r="L36" s="18"/>
      <c r="M36" s="19">
        <f>M8</f>
        <v>6</v>
      </c>
      <c r="N36" s="19">
        <f>M36*L36</f>
        <v>0</v>
      </c>
      <c r="O36" s="104">
        <f>+Quantities!D64*Quantities!H65</f>
        <v>9720</v>
      </c>
      <c r="P36" s="19">
        <f>P29</f>
        <v>0.33</v>
      </c>
      <c r="Q36" s="21">
        <f>P36*O36</f>
        <v>3207.6000000000004</v>
      </c>
      <c r="R36" s="18"/>
      <c r="S36" s="19">
        <f>S29</f>
        <v>2</v>
      </c>
      <c r="T36" s="23">
        <f>S36*R36</f>
        <v>0</v>
      </c>
      <c r="U36" s="23">
        <f>SUM(H36,K36,N36,Q36,T36)*$T$56</f>
        <v>256.60800000000006</v>
      </c>
      <c r="V36" s="23">
        <f>+H36+K36+N36+Q36+T36+U36</f>
        <v>3464.2080000000005</v>
      </c>
      <c r="AL36" s="2"/>
      <c r="AM36" s="1"/>
    </row>
    <row r="37" spans="2:39" ht="15.75" thickBot="1">
      <c r="B37" s="208"/>
      <c r="C37" s="204"/>
      <c r="D37" s="205"/>
      <c r="E37" s="12">
        <v>4</v>
      </c>
      <c r="F37" s="24" t="s">
        <v>25</v>
      </c>
      <c r="G37" s="25" t="s">
        <v>25</v>
      </c>
      <c r="H37" s="27"/>
      <c r="I37" s="24" t="s">
        <v>25</v>
      </c>
      <c r="J37" s="25" t="s">
        <v>25</v>
      </c>
      <c r="K37" s="27"/>
      <c r="L37" s="24"/>
      <c r="M37" s="25">
        <f>M9</f>
        <v>6</v>
      </c>
      <c r="N37" s="25">
        <f>M37*L37</f>
        <v>0</v>
      </c>
      <c r="O37" s="26"/>
      <c r="P37" s="25">
        <f>P30</f>
        <v>0.33</v>
      </c>
      <c r="Q37" s="27">
        <f>P37*O37</f>
        <v>0</v>
      </c>
      <c r="R37" s="105">
        <f>+O36</f>
        <v>9720</v>
      </c>
      <c r="S37" s="25">
        <f>S30</f>
        <v>2</v>
      </c>
      <c r="T37" s="28">
        <f>S37*R37</f>
        <v>19440</v>
      </c>
      <c r="U37" s="184">
        <f>SUM(H37,K37,N37,Q37,T37)*$T$56</f>
        <v>1555.2</v>
      </c>
      <c r="V37" s="28">
        <f>+H37+K37+N37+Q37+T37+U37</f>
        <v>20995.2</v>
      </c>
      <c r="AL37" s="2"/>
      <c r="AM37" s="1"/>
    </row>
    <row r="38" spans="2:39" ht="15.75" thickTop="1">
      <c r="B38" s="206" t="s">
        <v>18</v>
      </c>
      <c r="C38" s="199" t="s">
        <v>19</v>
      </c>
      <c r="D38" s="214"/>
      <c r="E38" s="17"/>
      <c r="F38" s="195" t="s">
        <v>28</v>
      </c>
      <c r="G38" s="195"/>
      <c r="H38" s="195"/>
      <c r="I38" s="196" t="s">
        <v>24</v>
      </c>
      <c r="J38" s="197"/>
      <c r="K38" s="198"/>
      <c r="L38" s="196" t="s">
        <v>3</v>
      </c>
      <c r="M38" s="197"/>
      <c r="N38" s="198"/>
      <c r="O38" s="196" t="s">
        <v>2</v>
      </c>
      <c r="P38" s="197"/>
      <c r="Q38" s="198"/>
      <c r="R38" s="196" t="s">
        <v>23</v>
      </c>
      <c r="S38" s="197"/>
      <c r="T38" s="210"/>
      <c r="U38" s="185" t="s">
        <v>164</v>
      </c>
      <c r="V38" s="40" t="s">
        <v>165</v>
      </c>
      <c r="AL38" s="2"/>
      <c r="AM38" s="1"/>
    </row>
    <row r="39" spans="2:39" ht="15">
      <c r="B39" s="207"/>
      <c r="C39" s="201"/>
      <c r="D39" s="203"/>
      <c r="E39" s="17"/>
      <c r="F39" s="8" t="s">
        <v>5</v>
      </c>
      <c r="G39" s="8" t="s">
        <v>6</v>
      </c>
      <c r="H39" s="8" t="s">
        <v>7</v>
      </c>
      <c r="I39" s="15" t="s">
        <v>5</v>
      </c>
      <c r="J39" s="8" t="s">
        <v>6</v>
      </c>
      <c r="K39" s="16" t="s">
        <v>7</v>
      </c>
      <c r="L39" s="8" t="s">
        <v>5</v>
      </c>
      <c r="M39" s="8" t="s">
        <v>6</v>
      </c>
      <c r="N39" s="8" t="s">
        <v>7</v>
      </c>
      <c r="O39" s="15" t="s">
        <v>5</v>
      </c>
      <c r="P39" s="8" t="s">
        <v>6</v>
      </c>
      <c r="Q39" s="16" t="s">
        <v>7</v>
      </c>
      <c r="R39" s="8" t="s">
        <v>5</v>
      </c>
      <c r="S39" s="8" t="s">
        <v>6</v>
      </c>
      <c r="T39" s="14" t="s">
        <v>7</v>
      </c>
      <c r="U39" s="179" t="s">
        <v>163</v>
      </c>
      <c r="V39" s="41" t="s">
        <v>163</v>
      </c>
      <c r="AL39" s="1"/>
      <c r="AM39" s="2"/>
    </row>
    <row r="40" spans="2:39" ht="15">
      <c r="B40" s="207"/>
      <c r="C40" s="201"/>
      <c r="D40" s="203"/>
      <c r="E40" s="11" t="s">
        <v>21</v>
      </c>
      <c r="F40" s="43">
        <v>10</v>
      </c>
      <c r="G40" s="19">
        <f>G5</f>
        <v>4</v>
      </c>
      <c r="H40" s="19">
        <f>G40*F40</f>
        <v>40</v>
      </c>
      <c r="I40" s="37">
        <f>+I41*0.3333</f>
        <v>114.52188</v>
      </c>
      <c r="J40" s="19">
        <f>J33</f>
        <v>1.5</v>
      </c>
      <c r="K40" s="21">
        <f>J40*I40</f>
        <v>171.78282</v>
      </c>
      <c r="L40" s="18"/>
      <c r="M40" s="19">
        <f>M5</f>
        <v>6</v>
      </c>
      <c r="N40" s="19">
        <f>M40*L40</f>
        <v>0</v>
      </c>
      <c r="O40" s="20"/>
      <c r="P40" s="19">
        <f>P33</f>
        <v>0.33</v>
      </c>
      <c r="Q40" s="21">
        <f>P40*O40</f>
        <v>0</v>
      </c>
      <c r="R40" s="18"/>
      <c r="S40" s="19">
        <f>S33</f>
        <v>2</v>
      </c>
      <c r="T40" s="23">
        <f>S40*R40</f>
        <v>0</v>
      </c>
      <c r="U40" s="23">
        <f>SUM(H40,K40,N40,Q40,T40)*$T$56</f>
        <v>16.9426256</v>
      </c>
      <c r="V40" s="23">
        <f>+H40+K40+N40+Q40+T40+U40</f>
        <v>228.7254456</v>
      </c>
      <c r="AL40" s="2"/>
      <c r="AM40" s="1"/>
    </row>
    <row r="41" spans="2:39" ht="15">
      <c r="B41" s="207"/>
      <c r="C41" s="201"/>
      <c r="D41" s="203"/>
      <c r="E41" s="11">
        <v>1</v>
      </c>
      <c r="F41" s="43">
        <v>40</v>
      </c>
      <c r="G41" s="19">
        <f>G6</f>
        <v>4</v>
      </c>
      <c r="H41" s="19">
        <f>G41*F41</f>
        <v>160</v>
      </c>
      <c r="I41" s="37">
        <f>+(Quantities!E70+Quantities!F70)*0.4</f>
        <v>343.6</v>
      </c>
      <c r="J41" s="19">
        <f>J34</f>
        <v>1.5</v>
      </c>
      <c r="K41" s="21">
        <f>J41*I41</f>
        <v>515.4000000000001</v>
      </c>
      <c r="L41" s="18"/>
      <c r="M41" s="19">
        <f>M6</f>
        <v>6</v>
      </c>
      <c r="N41" s="19">
        <f>M41*L41</f>
        <v>0</v>
      </c>
      <c r="O41" s="20"/>
      <c r="P41" s="19">
        <f>P34</f>
        <v>0.33</v>
      </c>
      <c r="Q41" s="21">
        <f>P41*O41</f>
        <v>0</v>
      </c>
      <c r="R41" s="18"/>
      <c r="S41" s="19">
        <f>S34</f>
        <v>2</v>
      </c>
      <c r="T41" s="23">
        <f>S41*R41</f>
        <v>0</v>
      </c>
      <c r="U41" s="23">
        <f>SUM(H41,K41,N41,Q41,T41)*$T$56</f>
        <v>54.03200000000001</v>
      </c>
      <c r="V41" s="23">
        <f>+H41+K41+N41+Q41+T41+U41</f>
        <v>729.4320000000001</v>
      </c>
      <c r="AL41" s="2"/>
      <c r="AM41" s="1"/>
    </row>
    <row r="42" spans="2:39" s="2" customFormat="1" ht="15">
      <c r="B42" s="207"/>
      <c r="C42" s="201"/>
      <c r="D42" s="203"/>
      <c r="E42" s="11">
        <v>2</v>
      </c>
      <c r="F42" s="18" t="s">
        <v>25</v>
      </c>
      <c r="G42" s="19" t="s">
        <v>25</v>
      </c>
      <c r="H42" s="35"/>
      <c r="I42" s="18" t="s">
        <v>25</v>
      </c>
      <c r="J42" s="19" t="s">
        <v>25</v>
      </c>
      <c r="K42" s="35"/>
      <c r="L42" s="18">
        <f>150*1.3</f>
        <v>195</v>
      </c>
      <c r="M42" s="19">
        <f>M7</f>
        <v>6</v>
      </c>
      <c r="N42" s="19">
        <f>M42*L42</f>
        <v>1170</v>
      </c>
      <c r="O42" s="20"/>
      <c r="P42" s="19">
        <f>P35</f>
        <v>0.33</v>
      </c>
      <c r="Q42" s="21">
        <f>P42*O42</f>
        <v>0</v>
      </c>
      <c r="R42" s="18"/>
      <c r="S42" s="19">
        <f>S35</f>
        <v>2</v>
      </c>
      <c r="T42" s="23">
        <f>S42*R42</f>
        <v>0</v>
      </c>
      <c r="U42" s="23">
        <f>SUM(H42,K42,N42,Q42,T42)*$T$56</f>
        <v>93.60000000000001</v>
      </c>
      <c r="V42" s="23">
        <f>+H42+K42+N42+Q42+T42+U42</f>
        <v>1263.6</v>
      </c>
      <c r="AM42" s="1"/>
    </row>
    <row r="43" spans="2:39" ht="15">
      <c r="B43" s="207"/>
      <c r="C43" s="201"/>
      <c r="D43" s="203"/>
      <c r="E43" s="11">
        <v>3</v>
      </c>
      <c r="F43" s="18" t="s">
        <v>25</v>
      </c>
      <c r="G43" s="19" t="s">
        <v>25</v>
      </c>
      <c r="H43" s="35"/>
      <c r="I43" s="18" t="s">
        <v>25</v>
      </c>
      <c r="J43" s="19" t="s">
        <v>25</v>
      </c>
      <c r="K43" s="35"/>
      <c r="L43" s="18"/>
      <c r="M43" s="19">
        <f>M8</f>
        <v>6</v>
      </c>
      <c r="N43" s="19">
        <f>M43*L43</f>
        <v>0</v>
      </c>
      <c r="O43" s="104">
        <f>+Quantities!D70*Quantities!H71</f>
        <v>9700</v>
      </c>
      <c r="P43" s="19">
        <f>P36</f>
        <v>0.33</v>
      </c>
      <c r="Q43" s="21">
        <f>P43*O43</f>
        <v>3201</v>
      </c>
      <c r="R43" s="18"/>
      <c r="S43" s="19">
        <f>S36</f>
        <v>2</v>
      </c>
      <c r="T43" s="23">
        <f>S43*R43</f>
        <v>0</v>
      </c>
      <c r="U43" s="23">
        <f>SUM(H43,K43,N43,Q43,T43)*$T$56</f>
        <v>256.08</v>
      </c>
      <c r="V43" s="23">
        <f>+H43+K43+N43+Q43+T43+U43</f>
        <v>3457.08</v>
      </c>
      <c r="AL43" s="2"/>
      <c r="AM43" s="1"/>
    </row>
    <row r="44" spans="2:39" ht="15.75" thickBot="1">
      <c r="B44" s="213"/>
      <c r="C44" s="215"/>
      <c r="D44" s="216"/>
      <c r="E44" s="108">
        <v>4</v>
      </c>
      <c r="F44" s="36" t="s">
        <v>25</v>
      </c>
      <c r="G44" s="31" t="s">
        <v>25</v>
      </c>
      <c r="H44" s="33"/>
      <c r="I44" s="30" t="s">
        <v>25</v>
      </c>
      <c r="J44" s="31" t="s">
        <v>25</v>
      </c>
      <c r="K44" s="33"/>
      <c r="L44" s="30"/>
      <c r="M44" s="31">
        <f>M9</f>
        <v>6</v>
      </c>
      <c r="N44" s="31">
        <f>M44*L44</f>
        <v>0</v>
      </c>
      <c r="O44" s="32"/>
      <c r="P44" s="31">
        <f>P37</f>
        <v>0.33</v>
      </c>
      <c r="Q44" s="33">
        <f>P44*O44</f>
        <v>0</v>
      </c>
      <c r="R44" s="106">
        <f>+O43</f>
        <v>9700</v>
      </c>
      <c r="S44" s="31">
        <f>S37</f>
        <v>2</v>
      </c>
      <c r="T44" s="34">
        <f>S44*R44</f>
        <v>19400</v>
      </c>
      <c r="U44" s="42">
        <f>SUM(H44,K44,N44,Q44,T44)*$T$56</f>
        <v>1552</v>
      </c>
      <c r="V44" s="34">
        <f>+H44+K44+N44+Q44+T44+U44</f>
        <v>20952</v>
      </c>
      <c r="AL44" s="2"/>
      <c r="AM44" s="1"/>
    </row>
    <row r="45" spans="8:39" ht="15">
      <c r="H45" s="39"/>
      <c r="V45" s="168"/>
      <c r="AL45" s="2"/>
      <c r="AM45" s="1"/>
    </row>
    <row r="46" spans="6:39" ht="15">
      <c r="F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68"/>
      <c r="AL46" s="1"/>
      <c r="AM46" s="2"/>
    </row>
    <row r="47" ht="15">
      <c r="V47" s="168"/>
    </row>
    <row r="48" spans="18:38" ht="15">
      <c r="R48" s="107">
        <f>+R9+R16+R23+R30+R37+R44</f>
        <v>218133.0833333333</v>
      </c>
      <c r="S48" t="s">
        <v>144</v>
      </c>
      <c r="AL48" s="1"/>
    </row>
    <row r="49" ht="15.75" thickBot="1">
      <c r="AL49" s="1"/>
    </row>
    <row r="50" spans="19:22" ht="15">
      <c r="S50" s="113" t="s">
        <v>127</v>
      </c>
      <c r="T50" s="114" t="s">
        <v>21</v>
      </c>
      <c r="U50" s="181"/>
      <c r="V50" s="115">
        <f>+V5+V12+V19+V26+V33+V40</f>
        <v>2085.9794784</v>
      </c>
    </row>
    <row r="51" spans="19:22" ht="15">
      <c r="S51" s="116"/>
      <c r="T51" s="112">
        <v>1</v>
      </c>
      <c r="U51" s="182"/>
      <c r="V51" s="117">
        <f>+V6+V13+V20+V27+V34+V41</f>
        <v>7131.888</v>
      </c>
    </row>
    <row r="52" spans="19:22" ht="15">
      <c r="S52" s="116"/>
      <c r="T52" s="112">
        <v>2</v>
      </c>
      <c r="U52" s="182"/>
      <c r="V52" s="117">
        <f>+V7+V14+V21+V28+V35+V42</f>
        <v>52060.32</v>
      </c>
    </row>
    <row r="53" spans="19:22" ht="15">
      <c r="S53" s="116"/>
      <c r="T53" s="112">
        <v>3</v>
      </c>
      <c r="U53" s="182"/>
      <c r="V53" s="117">
        <f>+V8+V15+V22+V29+V36+V43</f>
        <v>77742.6309</v>
      </c>
    </row>
    <row r="54" spans="19:22" ht="15.75" thickBot="1">
      <c r="S54" s="118"/>
      <c r="T54" s="119">
        <v>4</v>
      </c>
      <c r="U54" s="183"/>
      <c r="V54" s="120">
        <f>+V9+V16+V23+V30+V37+V44</f>
        <v>471167.46</v>
      </c>
    </row>
    <row r="56" spans="18:20" ht="15">
      <c r="R56" t="s">
        <v>166</v>
      </c>
      <c r="T56" s="187">
        <v>0.08</v>
      </c>
    </row>
  </sheetData>
  <sheetProtection/>
  <mergeCells count="45">
    <mergeCell ref="R38:T38"/>
    <mergeCell ref="R31:T31"/>
    <mergeCell ref="F17:H17"/>
    <mergeCell ref="I17:K17"/>
    <mergeCell ref="B38:B44"/>
    <mergeCell ref="C38:D44"/>
    <mergeCell ref="F38:H38"/>
    <mergeCell ref="I38:K38"/>
    <mergeCell ref="L38:N38"/>
    <mergeCell ref="O38:Q38"/>
    <mergeCell ref="R24:T24"/>
    <mergeCell ref="L17:N17"/>
    <mergeCell ref="O17:Q17"/>
    <mergeCell ref="R17:T17"/>
    <mergeCell ref="F31:H31"/>
    <mergeCell ref="I31:K31"/>
    <mergeCell ref="L31:N31"/>
    <mergeCell ref="O31:Q31"/>
    <mergeCell ref="F24:H24"/>
    <mergeCell ref="B31:B37"/>
    <mergeCell ref="C31:D37"/>
    <mergeCell ref="R3:T3"/>
    <mergeCell ref="O3:Q3"/>
    <mergeCell ref="L3:N3"/>
    <mergeCell ref="R10:T10"/>
    <mergeCell ref="L24:N24"/>
    <mergeCell ref="I3:K3"/>
    <mergeCell ref="F3:H3"/>
    <mergeCell ref="O24:Q24"/>
    <mergeCell ref="B3:B9"/>
    <mergeCell ref="B10:B16"/>
    <mergeCell ref="C10:D16"/>
    <mergeCell ref="B17:B23"/>
    <mergeCell ref="C17:D23"/>
    <mergeCell ref="I24:K24"/>
    <mergeCell ref="B24:B30"/>
    <mergeCell ref="C24:D30"/>
    <mergeCell ref="C1:F1"/>
    <mergeCell ref="F2:T2"/>
    <mergeCell ref="F10:H10"/>
    <mergeCell ref="I10:K10"/>
    <mergeCell ref="L10:N10"/>
    <mergeCell ref="O10:Q10"/>
    <mergeCell ref="C2:D2"/>
    <mergeCell ref="C3:D9"/>
  </mergeCells>
  <printOptions/>
  <pageMargins left="0.25" right="0.25" top="0.75" bottom="0.75" header="0.3" footer="0.3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tabSelected="1" zoomScaleSheetLayoutView="115" zoomScalePageLayoutView="0" workbookViewId="0" topLeftCell="A3">
      <selection activeCell="F21" sqref="F21"/>
    </sheetView>
  </sheetViews>
  <sheetFormatPr defaultColWidth="9.140625" defaultRowHeight="15"/>
  <cols>
    <col min="1" max="1" width="3.28125" style="2" customWidth="1"/>
    <col min="2" max="2" width="33.140625" style="2" bestFit="1" customWidth="1"/>
    <col min="3" max="3" width="15.7109375" style="0" bestFit="1" customWidth="1"/>
    <col min="4" max="4" width="14.421875" style="0" bestFit="1" customWidth="1"/>
    <col min="5" max="5" width="15.140625" style="0" bestFit="1" customWidth="1"/>
    <col min="6" max="6" width="15.421875" style="0" bestFit="1" customWidth="1"/>
    <col min="7" max="7" width="15.140625" style="0" bestFit="1" customWidth="1"/>
    <col min="8" max="8" width="15.7109375" style="0" bestFit="1" customWidth="1"/>
    <col min="9" max="9" width="15.421875" style="0" bestFit="1" customWidth="1"/>
    <col min="10" max="10" width="14.57421875" style="0" bestFit="1" customWidth="1"/>
    <col min="11" max="11" width="14.421875" style="0" bestFit="1" customWidth="1"/>
    <col min="12" max="12" width="14.7109375" style="0" bestFit="1" customWidth="1"/>
    <col min="13" max="14" width="13.57421875" style="0" bestFit="1" customWidth="1"/>
    <col min="15" max="16" width="14.421875" style="0" bestFit="1" customWidth="1"/>
    <col min="17" max="18" width="13.57421875" style="0" bestFit="1" customWidth="1"/>
    <col min="19" max="19" width="14.00390625" style="0" bestFit="1" customWidth="1"/>
    <col min="20" max="20" width="14.421875" style="0" bestFit="1" customWidth="1"/>
    <col min="21" max="23" width="14.8515625" style="0" bestFit="1" customWidth="1"/>
    <col min="24" max="24" width="14.00390625" style="0" bestFit="1" customWidth="1"/>
    <col min="25" max="25" width="14.421875" style="0" bestFit="1" customWidth="1"/>
    <col min="26" max="26" width="14.8515625" style="0" bestFit="1" customWidth="1"/>
    <col min="27" max="27" width="14.421875" style="0" bestFit="1" customWidth="1"/>
    <col min="28" max="29" width="14.8515625" style="0" bestFit="1" customWidth="1"/>
    <col min="30" max="30" width="15.7109375" style="0" bestFit="1" customWidth="1"/>
    <col min="31" max="31" width="3.140625" style="0" customWidth="1"/>
  </cols>
  <sheetData>
    <row r="1" s="2" customFormat="1" ht="15"/>
    <row r="2" spans="2:4" s="2" customFormat="1" ht="27" thickBot="1">
      <c r="B2" s="180" t="s">
        <v>162</v>
      </c>
      <c r="D2" s="2" t="s">
        <v>161</v>
      </c>
    </row>
    <row r="3" spans="2:31" ht="15">
      <c r="B3" s="136" t="s">
        <v>151</v>
      </c>
      <c r="C3" s="137" t="s">
        <v>27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9"/>
      <c r="AE3" s="44"/>
    </row>
    <row r="4" spans="2:31" ht="15.75" thickBot="1">
      <c r="B4" s="149" t="s">
        <v>1</v>
      </c>
      <c r="C4" s="150">
        <v>2016</v>
      </c>
      <c r="D4" s="151">
        <f>+C4+1</f>
        <v>2017</v>
      </c>
      <c r="E4" s="151">
        <f aca="true" t="shared" si="0" ref="E4:AD4">+D4+1</f>
        <v>2018</v>
      </c>
      <c r="F4" s="151">
        <f t="shared" si="0"/>
        <v>2019</v>
      </c>
      <c r="G4" s="151">
        <f t="shared" si="0"/>
        <v>2020</v>
      </c>
      <c r="H4" s="151">
        <f t="shared" si="0"/>
        <v>2021</v>
      </c>
      <c r="I4" s="151">
        <f t="shared" si="0"/>
        <v>2022</v>
      </c>
      <c r="J4" s="151">
        <f t="shared" si="0"/>
        <v>2023</v>
      </c>
      <c r="K4" s="151">
        <f t="shared" si="0"/>
        <v>2024</v>
      </c>
      <c r="L4" s="151">
        <f t="shared" si="0"/>
        <v>2025</v>
      </c>
      <c r="M4" s="151">
        <f t="shared" si="0"/>
        <v>2026</v>
      </c>
      <c r="N4" s="151">
        <f t="shared" si="0"/>
        <v>2027</v>
      </c>
      <c r="O4" s="151">
        <f t="shared" si="0"/>
        <v>2028</v>
      </c>
      <c r="P4" s="151">
        <f t="shared" si="0"/>
        <v>2029</v>
      </c>
      <c r="Q4" s="151">
        <f t="shared" si="0"/>
        <v>2030</v>
      </c>
      <c r="R4" s="151">
        <f t="shared" si="0"/>
        <v>2031</v>
      </c>
      <c r="S4" s="151">
        <f t="shared" si="0"/>
        <v>2032</v>
      </c>
      <c r="T4" s="151">
        <f t="shared" si="0"/>
        <v>2033</v>
      </c>
      <c r="U4" s="151">
        <f t="shared" si="0"/>
        <v>2034</v>
      </c>
      <c r="V4" s="151">
        <f t="shared" si="0"/>
        <v>2035</v>
      </c>
      <c r="W4" s="151">
        <f t="shared" si="0"/>
        <v>2036</v>
      </c>
      <c r="X4" s="151">
        <f t="shared" si="0"/>
        <v>2037</v>
      </c>
      <c r="Y4" s="151">
        <f t="shared" si="0"/>
        <v>2038</v>
      </c>
      <c r="Z4" s="151">
        <f t="shared" si="0"/>
        <v>2039</v>
      </c>
      <c r="AA4" s="151">
        <f t="shared" si="0"/>
        <v>2040</v>
      </c>
      <c r="AB4" s="151">
        <f t="shared" si="0"/>
        <v>2041</v>
      </c>
      <c r="AC4" s="151">
        <f t="shared" si="0"/>
        <v>2042</v>
      </c>
      <c r="AD4" s="152">
        <f t="shared" si="0"/>
        <v>2043</v>
      </c>
      <c r="AE4" s="44"/>
    </row>
    <row r="5" spans="1:31" ht="15">
      <c r="A5" s="46">
        <v>1</v>
      </c>
      <c r="B5" s="148" t="s">
        <v>150</v>
      </c>
      <c r="C5" s="169"/>
      <c r="D5" s="170" t="s">
        <v>149</v>
      </c>
      <c r="E5" s="170" t="s">
        <v>149</v>
      </c>
      <c r="F5" s="170" t="s">
        <v>149</v>
      </c>
      <c r="G5" s="170" t="s">
        <v>149</v>
      </c>
      <c r="H5" s="170" t="s">
        <v>149</v>
      </c>
      <c r="I5" s="170" t="s">
        <v>149</v>
      </c>
      <c r="J5" s="170" t="s">
        <v>149</v>
      </c>
      <c r="K5" s="170" t="s">
        <v>149</v>
      </c>
      <c r="L5" s="170" t="s">
        <v>149</v>
      </c>
      <c r="M5" s="170" t="s">
        <v>149</v>
      </c>
      <c r="N5" s="170" t="s">
        <v>149</v>
      </c>
      <c r="O5" s="170" t="s">
        <v>149</v>
      </c>
      <c r="P5" s="170" t="s">
        <v>149</v>
      </c>
      <c r="Q5" s="170" t="s">
        <v>149</v>
      </c>
      <c r="R5" s="170" t="s">
        <v>149</v>
      </c>
      <c r="S5" s="170" t="s">
        <v>149</v>
      </c>
      <c r="T5" s="170" t="s">
        <v>149</v>
      </c>
      <c r="U5" s="170" t="s">
        <v>149</v>
      </c>
      <c r="V5" s="170" t="s">
        <v>149</v>
      </c>
      <c r="W5" s="170" t="s">
        <v>149</v>
      </c>
      <c r="X5" s="170" t="s">
        <v>149</v>
      </c>
      <c r="Y5" s="170" t="s">
        <v>149</v>
      </c>
      <c r="Z5" s="170" t="s">
        <v>149</v>
      </c>
      <c r="AA5" s="170" t="s">
        <v>149</v>
      </c>
      <c r="AB5" s="170" t="s">
        <v>149</v>
      </c>
      <c r="AC5" s="170" t="s">
        <v>149</v>
      </c>
      <c r="AD5" s="171" t="s">
        <v>149</v>
      </c>
      <c r="AE5" s="46"/>
    </row>
    <row r="6" spans="1:31" ht="15">
      <c r="A6" s="46">
        <v>2</v>
      </c>
      <c r="B6" s="140" t="s">
        <v>145</v>
      </c>
      <c r="C6" s="172" t="s">
        <v>149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4"/>
      <c r="AE6" s="46"/>
    </row>
    <row r="7" spans="1:31" ht="15">
      <c r="A7" s="46">
        <v>3</v>
      </c>
      <c r="B7" s="140" t="s">
        <v>146</v>
      </c>
      <c r="C7" s="172"/>
      <c r="D7" s="173" t="s">
        <v>149</v>
      </c>
      <c r="E7" s="173"/>
      <c r="F7" s="173"/>
      <c r="G7" s="173"/>
      <c r="H7" s="173"/>
      <c r="I7" s="173" t="s">
        <v>149</v>
      </c>
      <c r="J7" s="173"/>
      <c r="K7" s="173"/>
      <c r="L7" s="173"/>
      <c r="M7" s="173"/>
      <c r="N7" s="173"/>
      <c r="O7" s="173"/>
      <c r="P7" s="173" t="s">
        <v>149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4" t="s">
        <v>149</v>
      </c>
      <c r="AE7" s="46"/>
    </row>
    <row r="8" spans="1:31" ht="15">
      <c r="A8" s="46">
        <v>4</v>
      </c>
      <c r="B8" s="140" t="s">
        <v>147</v>
      </c>
      <c r="C8" s="172"/>
      <c r="D8" s="173" t="s">
        <v>149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 t="s">
        <v>149</v>
      </c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4"/>
      <c r="AE8" s="46"/>
    </row>
    <row r="9" spans="1:31" ht="15.75" thickBot="1">
      <c r="A9" s="46">
        <v>5</v>
      </c>
      <c r="B9" s="141" t="s">
        <v>148</v>
      </c>
      <c r="C9" s="175"/>
      <c r="D9" s="176"/>
      <c r="E9" s="176"/>
      <c r="F9" s="176"/>
      <c r="G9" s="176"/>
      <c r="H9" s="176"/>
      <c r="I9" s="176" t="s">
        <v>149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7" t="s">
        <v>149</v>
      </c>
      <c r="AE9" s="46"/>
    </row>
    <row r="10" ht="15">
      <c r="B10" s="111"/>
    </row>
    <row r="11" spans="2:3" ht="15.75" thickBot="1">
      <c r="B11" s="111" t="s">
        <v>153</v>
      </c>
      <c r="C11" s="147">
        <v>0.02</v>
      </c>
    </row>
    <row r="12" spans="2:30" ht="15">
      <c r="B12" s="122" t="s">
        <v>152</v>
      </c>
      <c r="C12" s="123">
        <f>IF(C5="X",Data!$V$50,0)</f>
        <v>0</v>
      </c>
      <c r="D12" s="123">
        <f>IF(D5="X",Data!$V$50,0)</f>
        <v>2085.9794784</v>
      </c>
      <c r="E12" s="123">
        <f>IF(E5="X",Data!$V$50,0)</f>
        <v>2085.9794784</v>
      </c>
      <c r="F12" s="123">
        <f>IF(F5="X",Data!$V$50,0)</f>
        <v>2085.9794784</v>
      </c>
      <c r="G12" s="123">
        <f>IF(G5="X",Data!$V$50,0)</f>
        <v>2085.9794784</v>
      </c>
      <c r="H12" s="123">
        <f>IF(H5="X",Data!$V$50,0)</f>
        <v>2085.9794784</v>
      </c>
      <c r="I12" s="123">
        <f>IF(I5="X",Data!$V$50,0)</f>
        <v>2085.9794784</v>
      </c>
      <c r="J12" s="123">
        <f>IF(J5="X",Data!$V$50,0)</f>
        <v>2085.9794784</v>
      </c>
      <c r="K12" s="123">
        <f>IF(K5="X",Data!$V$50,0)</f>
        <v>2085.9794784</v>
      </c>
      <c r="L12" s="123">
        <f>IF(L5="X",Data!$V$50,0)</f>
        <v>2085.9794784</v>
      </c>
      <c r="M12" s="123">
        <f>IF(M5="X",Data!$V$50,0)</f>
        <v>2085.9794784</v>
      </c>
      <c r="N12" s="123">
        <f>IF(N5="X",Data!$V$50,0)</f>
        <v>2085.9794784</v>
      </c>
      <c r="O12" s="123">
        <f>IF(O5="X",Data!$V$50,0)</f>
        <v>2085.9794784</v>
      </c>
      <c r="P12" s="123">
        <f>IF(P5="X",Data!$V$50,0)</f>
        <v>2085.9794784</v>
      </c>
      <c r="Q12" s="123">
        <f>IF(Q5="X",Data!$V$50,0)</f>
        <v>2085.9794784</v>
      </c>
      <c r="R12" s="123">
        <f>IF(R5="X",Data!$V$50,0)</f>
        <v>2085.9794784</v>
      </c>
      <c r="S12" s="123">
        <f>IF(S5="X",Data!$V$50,0)</f>
        <v>2085.9794784</v>
      </c>
      <c r="T12" s="123">
        <f>IF(T5="X",Data!$V$50,0)</f>
        <v>2085.9794784</v>
      </c>
      <c r="U12" s="123">
        <f>IF(U5="X",Data!$V$50,0)</f>
        <v>2085.9794784</v>
      </c>
      <c r="V12" s="123">
        <f>IF(V5="X",Data!$V$50,0)</f>
        <v>2085.9794784</v>
      </c>
      <c r="W12" s="123">
        <f>IF(W5="X",Data!$V$50,0)</f>
        <v>2085.9794784</v>
      </c>
      <c r="X12" s="123">
        <f>IF(X5="X",Data!$V$50,0)</f>
        <v>2085.9794784</v>
      </c>
      <c r="Y12" s="123">
        <f>IF(Y5="X",Data!$V$50,0)</f>
        <v>2085.9794784</v>
      </c>
      <c r="Z12" s="123">
        <f>IF(Z5="X",Data!$V$50,0)</f>
        <v>2085.9794784</v>
      </c>
      <c r="AA12" s="123">
        <f>IF(AA5="X",Data!$V$50,0)</f>
        <v>2085.9794784</v>
      </c>
      <c r="AB12" s="123">
        <f>IF(AB5="X",Data!$V$50,0)</f>
        <v>2085.9794784</v>
      </c>
      <c r="AC12" s="123">
        <f>IF(AC5="X",Data!$V$50,0)</f>
        <v>2085.9794784</v>
      </c>
      <c r="AD12" s="124">
        <f>IF(AD5="X",Data!$V$50,0)</f>
        <v>2085.9794784</v>
      </c>
    </row>
    <row r="13" spans="2:30" ht="15">
      <c r="B13" s="116"/>
      <c r="C13" s="125">
        <f>IF(C6="X",Data!$V$51,0)</f>
        <v>7131.888</v>
      </c>
      <c r="D13" s="125">
        <f>IF(D6="X",Data!$V$51,0)</f>
        <v>0</v>
      </c>
      <c r="E13" s="125">
        <f>IF(E6="X",Data!$V$51,0)</f>
        <v>0</v>
      </c>
      <c r="F13" s="125">
        <f>IF(F6="X",Data!$V$51,0)</f>
        <v>0</v>
      </c>
      <c r="G13" s="125">
        <f>IF(G6="X",Data!$V$51,0)</f>
        <v>0</v>
      </c>
      <c r="H13" s="125">
        <f>IF(H6="X",Data!$V$51,0)</f>
        <v>0</v>
      </c>
      <c r="I13" s="125">
        <f>IF(I6="X",Data!$V$51,0)</f>
        <v>0</v>
      </c>
      <c r="J13" s="125">
        <f>IF(J6="X",Data!$V$51,0)</f>
        <v>0</v>
      </c>
      <c r="K13" s="125">
        <f>IF(K6="X",Data!$V$51,0)</f>
        <v>0</v>
      </c>
      <c r="L13" s="125">
        <f>IF(L6="X",Data!$V$51,0)</f>
        <v>0</v>
      </c>
      <c r="M13" s="125">
        <f>IF(M6="X",Data!$V$51,0)</f>
        <v>0</v>
      </c>
      <c r="N13" s="125">
        <f>IF(N6="X",Data!$V$51,0)</f>
        <v>0</v>
      </c>
      <c r="O13" s="125">
        <f>IF(O6="X",Data!$V$51,0)</f>
        <v>0</v>
      </c>
      <c r="P13" s="125">
        <f>IF(P6="X",Data!$V$51,0)</f>
        <v>0</v>
      </c>
      <c r="Q13" s="125">
        <f>IF(Q6="X",Data!$V$51,0)</f>
        <v>0</v>
      </c>
      <c r="R13" s="125">
        <f>IF(R6="X",Data!$V$51,0)</f>
        <v>0</v>
      </c>
      <c r="S13" s="125">
        <f>IF(S6="X",Data!$V$51,0)</f>
        <v>0</v>
      </c>
      <c r="T13" s="125">
        <f>IF(T6="X",Data!$V$51,0)</f>
        <v>0</v>
      </c>
      <c r="U13" s="125">
        <f>IF(U6="X",Data!$V$51,0)</f>
        <v>0</v>
      </c>
      <c r="V13" s="125">
        <f>IF(V6="X",Data!$V$51,0)</f>
        <v>0</v>
      </c>
      <c r="W13" s="125">
        <f>IF(W6="X",Data!$V$51,0)</f>
        <v>0</v>
      </c>
      <c r="X13" s="125">
        <f>IF(X6="X",Data!$V$51,0)</f>
        <v>0</v>
      </c>
      <c r="Y13" s="125">
        <f>IF(Y6="X",Data!$V$51,0)</f>
        <v>0</v>
      </c>
      <c r="Z13" s="125">
        <f>IF(Z6="X",Data!$V$51,0)</f>
        <v>0</v>
      </c>
      <c r="AA13" s="125">
        <f>IF(AA6="X",Data!$V$51,0)</f>
        <v>0</v>
      </c>
      <c r="AB13" s="125">
        <f>IF(AB6="X",Data!$V$51,0)</f>
        <v>0</v>
      </c>
      <c r="AC13" s="125">
        <f>IF(AC6="X",Data!$V$51,0)</f>
        <v>0</v>
      </c>
      <c r="AD13" s="126">
        <f>IF(AD6="X",Data!$V$51,0)</f>
        <v>0</v>
      </c>
    </row>
    <row r="14" spans="2:30" ht="15">
      <c r="B14" s="116"/>
      <c r="C14" s="125">
        <f>IF(C7="X",Data!$V$52,0)</f>
        <v>0</v>
      </c>
      <c r="D14" s="125">
        <f>IF(D7="X",Data!$V$52,0)</f>
        <v>52060.32</v>
      </c>
      <c r="E14" s="125">
        <f>IF(E7="X",Data!$V$52,0)</f>
        <v>0</v>
      </c>
      <c r="F14" s="125">
        <f>IF(F7="X",Data!$V$52,0)</f>
        <v>0</v>
      </c>
      <c r="G14" s="125">
        <f>IF(G7="X",Data!$V$52,0)</f>
        <v>0</v>
      </c>
      <c r="H14" s="125">
        <f>IF(H7="X",Data!$V$52,0)</f>
        <v>0</v>
      </c>
      <c r="I14" s="125">
        <f>IF(I7="X",Data!$V$52,0)</f>
        <v>52060.32</v>
      </c>
      <c r="J14" s="125">
        <f>IF(J7="X",Data!$V$52,0)</f>
        <v>0</v>
      </c>
      <c r="K14" s="125">
        <f>IF(K7="X",Data!$V$52,0)</f>
        <v>0</v>
      </c>
      <c r="L14" s="125">
        <f>IF(L7="X",Data!$V$52,0)</f>
        <v>0</v>
      </c>
      <c r="M14" s="125">
        <f>IF(M7="X",Data!$V$52,0)</f>
        <v>0</v>
      </c>
      <c r="N14" s="125">
        <f>IF(N7="X",Data!$V$52,0)</f>
        <v>0</v>
      </c>
      <c r="O14" s="125">
        <f>IF(O7="X",Data!$V$52,0)</f>
        <v>0</v>
      </c>
      <c r="P14" s="125">
        <f>IF(P7="X",Data!$V$52,0)</f>
        <v>52060.32</v>
      </c>
      <c r="Q14" s="125">
        <f>IF(Q7="X",Data!$V$52,0)</f>
        <v>0</v>
      </c>
      <c r="R14" s="125">
        <f>IF(R7="X",Data!$V$52,0)</f>
        <v>0</v>
      </c>
      <c r="S14" s="125">
        <f>IF(S7="X",Data!$V$52,0)</f>
        <v>0</v>
      </c>
      <c r="T14" s="125">
        <f>IF(T7="X",Data!$V$52,0)</f>
        <v>0</v>
      </c>
      <c r="U14" s="125">
        <f>IF(U7="X",Data!$V$52,0)</f>
        <v>0</v>
      </c>
      <c r="V14" s="125">
        <f>IF(V7="X",Data!$V$52,0)</f>
        <v>0</v>
      </c>
      <c r="W14" s="125">
        <f>IF(W7="X",Data!$V$52,0)</f>
        <v>0</v>
      </c>
      <c r="X14" s="125">
        <f>IF(X7="X",Data!$V$52,0)</f>
        <v>0</v>
      </c>
      <c r="Y14" s="125">
        <f>IF(Y7="X",Data!$V$52,0)</f>
        <v>0</v>
      </c>
      <c r="Z14" s="125">
        <f>IF(Z7="X",Data!$V$52,0)</f>
        <v>0</v>
      </c>
      <c r="AA14" s="125">
        <f>IF(AA7="X",Data!$V$52,0)</f>
        <v>0</v>
      </c>
      <c r="AB14" s="125">
        <f>IF(AB7="X",Data!$V$52,0)</f>
        <v>0</v>
      </c>
      <c r="AC14" s="125">
        <f>IF(AC7="X",Data!$V$52,0)</f>
        <v>0</v>
      </c>
      <c r="AD14" s="126">
        <f>IF(AD7="X",Data!$V$52,0)</f>
        <v>52060.32</v>
      </c>
    </row>
    <row r="15" spans="2:30" ht="15">
      <c r="B15" s="116"/>
      <c r="C15" s="125">
        <f>IF(C8="X",Data!$V$53,0)</f>
        <v>0</v>
      </c>
      <c r="D15" s="125">
        <f>IF(D8="X",Data!$V$53,0)</f>
        <v>77742.6309</v>
      </c>
      <c r="E15" s="125">
        <f>IF(E8="X",Data!$V$53,0)</f>
        <v>0</v>
      </c>
      <c r="F15" s="125">
        <f>IF(F8="X",Data!$V$53,0)</f>
        <v>0</v>
      </c>
      <c r="G15" s="125">
        <f>IF(G8="X",Data!$V$53,0)</f>
        <v>0</v>
      </c>
      <c r="H15" s="125">
        <f>IF(H8="X",Data!$V$53,0)</f>
        <v>0</v>
      </c>
      <c r="I15" s="125">
        <f>IF(I8="X",Data!$V$53,0)</f>
        <v>0</v>
      </c>
      <c r="J15" s="125">
        <f>IF(J8="X",Data!$V$53,0)</f>
        <v>0</v>
      </c>
      <c r="K15" s="125">
        <f>IF(K8="X",Data!$V$53,0)</f>
        <v>0</v>
      </c>
      <c r="L15" s="125">
        <f>IF(L8="X",Data!$V$53,0)</f>
        <v>0</v>
      </c>
      <c r="M15" s="125">
        <f>IF(M8="X",Data!$V$53,0)</f>
        <v>0</v>
      </c>
      <c r="N15" s="125">
        <f>IF(N8="X",Data!$V$53,0)</f>
        <v>0</v>
      </c>
      <c r="O15" s="125">
        <f>IF(O8="X",Data!$V$53,0)</f>
        <v>0</v>
      </c>
      <c r="P15" s="125">
        <f>IF(P8="X",Data!$V$53,0)</f>
        <v>77742.6309</v>
      </c>
      <c r="Q15" s="125">
        <f>IF(Q8="X",Data!$V$53,0)</f>
        <v>0</v>
      </c>
      <c r="R15" s="125">
        <f>IF(R8="X",Data!$V$53,0)</f>
        <v>0</v>
      </c>
      <c r="S15" s="125">
        <f>IF(S8="X",Data!$V$53,0)</f>
        <v>0</v>
      </c>
      <c r="T15" s="125">
        <f>IF(T8="X",Data!$V$53,0)</f>
        <v>0</v>
      </c>
      <c r="U15" s="125">
        <f>IF(U8="X",Data!$V$53,0)</f>
        <v>0</v>
      </c>
      <c r="V15" s="125">
        <f>IF(V8="X",Data!$V$53,0)</f>
        <v>0</v>
      </c>
      <c r="W15" s="125">
        <f>IF(W8="X",Data!$V$53,0)</f>
        <v>0</v>
      </c>
      <c r="X15" s="125">
        <f>IF(X8="X",Data!$V$53,0)</f>
        <v>0</v>
      </c>
      <c r="Y15" s="125">
        <f>IF(Y8="X",Data!$V$53,0)</f>
        <v>0</v>
      </c>
      <c r="Z15" s="125">
        <f>IF(Z8="X",Data!$V$53,0)</f>
        <v>0</v>
      </c>
      <c r="AA15" s="125">
        <f>IF(AA8="X",Data!$V$53,0)</f>
        <v>0</v>
      </c>
      <c r="AB15" s="125">
        <f>IF(AB8="X",Data!$V$53,0)</f>
        <v>0</v>
      </c>
      <c r="AC15" s="125">
        <f>IF(AC8="X",Data!$V$53,0)</f>
        <v>0</v>
      </c>
      <c r="AD15" s="126">
        <f>IF(AD8="X",Data!$V$53,0)</f>
        <v>0</v>
      </c>
    </row>
    <row r="16" spans="2:30" ht="15">
      <c r="B16" s="127"/>
      <c r="C16" s="121">
        <f>IF(C9="X",Data!$V$54,0)</f>
        <v>0</v>
      </c>
      <c r="D16" s="121">
        <f>IF(D9="X",Data!$V$54,0)</f>
        <v>0</v>
      </c>
      <c r="E16" s="121">
        <f>IF(E9="X",Data!$V$54,0)</f>
        <v>0</v>
      </c>
      <c r="F16" s="121">
        <f>IF(F9="X",Data!$V$54,0)</f>
        <v>0</v>
      </c>
      <c r="G16" s="121">
        <f>IF(G9="X",Data!$V$54,0)</f>
        <v>0</v>
      </c>
      <c r="H16" s="121">
        <f>IF(H9="X",Data!$V$54,0)</f>
        <v>0</v>
      </c>
      <c r="I16" s="121">
        <f>IF(I9="X",Data!$V$54,0)</f>
        <v>471167.46</v>
      </c>
      <c r="J16" s="121">
        <f>IF(J9="X",Data!$V$54,0)</f>
        <v>0</v>
      </c>
      <c r="K16" s="121">
        <f>IF(K9="X",Data!$V$54,0)</f>
        <v>0</v>
      </c>
      <c r="L16" s="121">
        <f>IF(L9="X",Data!$V$54,0)</f>
        <v>0</v>
      </c>
      <c r="M16" s="121">
        <f>IF(M9="X",Data!$V$54,0)</f>
        <v>0</v>
      </c>
      <c r="N16" s="121">
        <f>IF(N9="X",Data!$V$54,0)</f>
        <v>0</v>
      </c>
      <c r="O16" s="121">
        <f>IF(O9="X",Data!$V$54,0)</f>
        <v>0</v>
      </c>
      <c r="P16" s="121">
        <f>IF(P9="X",Data!$V$54,0)</f>
        <v>0</v>
      </c>
      <c r="Q16" s="121">
        <f>IF(Q9="X",Data!$V$54,0)</f>
        <v>0</v>
      </c>
      <c r="R16" s="121">
        <f>IF(R9="X",Data!$V$54,0)</f>
        <v>0</v>
      </c>
      <c r="S16" s="121">
        <f>IF(S9="X",Data!$V$54,0)</f>
        <v>0</v>
      </c>
      <c r="T16" s="121">
        <f>IF(T9="X",Data!$V$54,0)</f>
        <v>0</v>
      </c>
      <c r="U16" s="121">
        <f>IF(U9="X",Data!$V$54,0)</f>
        <v>0</v>
      </c>
      <c r="V16" s="121">
        <f>IF(V9="X",Data!$V$54,0)</f>
        <v>0</v>
      </c>
      <c r="W16" s="121">
        <f>IF(W9="X",Data!$V$54,0)</f>
        <v>0</v>
      </c>
      <c r="X16" s="121">
        <f>IF(X9="X",Data!$V$54,0)</f>
        <v>0</v>
      </c>
      <c r="Y16" s="121">
        <f>IF(Y9="X",Data!$V$54,0)</f>
        <v>0</v>
      </c>
      <c r="Z16" s="121">
        <f>IF(Z9="X",Data!$V$54,0)</f>
        <v>0</v>
      </c>
      <c r="AA16" s="121">
        <f>IF(AA9="X",Data!$V$54,0)</f>
        <v>0</v>
      </c>
      <c r="AB16" s="121">
        <f>IF(AB9="X",Data!$V$54,0)</f>
        <v>0</v>
      </c>
      <c r="AC16" s="121">
        <f>IF(AC9="X",Data!$V$54,0)</f>
        <v>0</v>
      </c>
      <c r="AD16" s="128">
        <f>IF(AD9="X",Data!$V$54,0)</f>
        <v>471167.46</v>
      </c>
    </row>
    <row r="17" spans="2:30" ht="15">
      <c r="B17" s="129" t="s">
        <v>7</v>
      </c>
      <c r="C17" s="130">
        <f>+SUM(C12:C16)</f>
        <v>7131.888</v>
      </c>
      <c r="D17" s="130">
        <f>+SUM(D12:D16)</f>
        <v>131888.9303784</v>
      </c>
      <c r="E17" s="130">
        <f aca="true" t="shared" si="1" ref="E17:AD17">+SUM(E12:E16)</f>
        <v>2085.9794784</v>
      </c>
      <c r="F17" s="130">
        <f t="shared" si="1"/>
        <v>2085.9794784</v>
      </c>
      <c r="G17" s="130">
        <f t="shared" si="1"/>
        <v>2085.9794784</v>
      </c>
      <c r="H17" s="130">
        <f t="shared" si="1"/>
        <v>2085.9794784</v>
      </c>
      <c r="I17" s="130">
        <f t="shared" si="1"/>
        <v>525313.7594784</v>
      </c>
      <c r="J17" s="130">
        <f t="shared" si="1"/>
        <v>2085.9794784</v>
      </c>
      <c r="K17" s="130">
        <f t="shared" si="1"/>
        <v>2085.9794784</v>
      </c>
      <c r="L17" s="130">
        <f t="shared" si="1"/>
        <v>2085.9794784</v>
      </c>
      <c r="M17" s="130">
        <f t="shared" si="1"/>
        <v>2085.9794784</v>
      </c>
      <c r="N17" s="130">
        <f t="shared" si="1"/>
        <v>2085.9794784</v>
      </c>
      <c r="O17" s="130">
        <f t="shared" si="1"/>
        <v>2085.9794784</v>
      </c>
      <c r="P17" s="130">
        <f t="shared" si="1"/>
        <v>131888.9303784</v>
      </c>
      <c r="Q17" s="130">
        <f t="shared" si="1"/>
        <v>2085.9794784</v>
      </c>
      <c r="R17" s="130">
        <f t="shared" si="1"/>
        <v>2085.9794784</v>
      </c>
      <c r="S17" s="130">
        <f t="shared" si="1"/>
        <v>2085.9794784</v>
      </c>
      <c r="T17" s="130">
        <f t="shared" si="1"/>
        <v>2085.9794784</v>
      </c>
      <c r="U17" s="130">
        <f t="shared" si="1"/>
        <v>2085.9794784</v>
      </c>
      <c r="V17" s="130">
        <f t="shared" si="1"/>
        <v>2085.9794784</v>
      </c>
      <c r="W17" s="130">
        <f t="shared" si="1"/>
        <v>2085.9794784</v>
      </c>
      <c r="X17" s="130">
        <f t="shared" si="1"/>
        <v>2085.9794784</v>
      </c>
      <c r="Y17" s="130">
        <f t="shared" si="1"/>
        <v>2085.9794784</v>
      </c>
      <c r="Z17" s="130">
        <f t="shared" si="1"/>
        <v>2085.9794784</v>
      </c>
      <c r="AA17" s="130">
        <f t="shared" si="1"/>
        <v>2085.9794784</v>
      </c>
      <c r="AB17" s="130">
        <f t="shared" si="1"/>
        <v>2085.9794784</v>
      </c>
      <c r="AC17" s="130">
        <f t="shared" si="1"/>
        <v>2085.9794784</v>
      </c>
      <c r="AD17" s="117">
        <f t="shared" si="1"/>
        <v>525313.7594784</v>
      </c>
    </row>
    <row r="18" spans="2:30" ht="15">
      <c r="B18" s="116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31"/>
    </row>
    <row r="19" spans="2:30" ht="15.75" thickBot="1">
      <c r="B19" s="132" t="s">
        <v>154</v>
      </c>
      <c r="C19" s="133">
        <f>+C17</f>
        <v>7131.888</v>
      </c>
      <c r="D19" s="134">
        <f aca="true" t="shared" si="2" ref="D19:AD19">+D17*(1+$C$11)^(D4-$C$4)</f>
        <v>134526.708985968</v>
      </c>
      <c r="E19" s="134">
        <f t="shared" si="2"/>
        <v>2170.2530493273603</v>
      </c>
      <c r="F19" s="134">
        <f t="shared" si="2"/>
        <v>2213.658110313907</v>
      </c>
      <c r="G19" s="134">
        <f t="shared" si="2"/>
        <v>2257.9312725201853</v>
      </c>
      <c r="H19" s="134">
        <f t="shared" si="2"/>
        <v>2303.089897970589</v>
      </c>
      <c r="I19" s="134">
        <f t="shared" si="2"/>
        <v>591588.614246862</v>
      </c>
      <c r="J19" s="134">
        <f t="shared" si="2"/>
        <v>2396.1347298486007</v>
      </c>
      <c r="K19" s="134">
        <f t="shared" si="2"/>
        <v>2444.057424445573</v>
      </c>
      <c r="L19" s="134">
        <f t="shared" si="2"/>
        <v>2492.9385729344845</v>
      </c>
      <c r="M19" s="134">
        <f t="shared" si="2"/>
        <v>2542.797344393174</v>
      </c>
      <c r="N19" s="134">
        <f t="shared" si="2"/>
        <v>2593.653291281037</v>
      </c>
      <c r="O19" s="134">
        <f t="shared" si="2"/>
        <v>2645.526357106658</v>
      </c>
      <c r="P19" s="134">
        <f t="shared" si="2"/>
        <v>170612.39482095733</v>
      </c>
      <c r="Q19" s="134">
        <f t="shared" si="2"/>
        <v>2752.405621933767</v>
      </c>
      <c r="R19" s="134">
        <f t="shared" si="2"/>
        <v>2807.453734372442</v>
      </c>
      <c r="S19" s="134">
        <f t="shared" si="2"/>
        <v>2863.602809059891</v>
      </c>
      <c r="T19" s="134">
        <f t="shared" si="2"/>
        <v>2920.874865241089</v>
      </c>
      <c r="U19" s="134">
        <f t="shared" si="2"/>
        <v>2979.2923625459107</v>
      </c>
      <c r="V19" s="134">
        <f t="shared" si="2"/>
        <v>3038.8782097968287</v>
      </c>
      <c r="W19" s="134">
        <f t="shared" si="2"/>
        <v>3099.6557739927657</v>
      </c>
      <c r="X19" s="134">
        <f t="shared" si="2"/>
        <v>3161.648889472621</v>
      </c>
      <c r="Y19" s="134">
        <f t="shared" si="2"/>
        <v>3224.8818672620732</v>
      </c>
      <c r="Z19" s="134">
        <f t="shared" si="2"/>
        <v>3289.379504607314</v>
      </c>
      <c r="AA19" s="134">
        <f t="shared" si="2"/>
        <v>3355.167094699461</v>
      </c>
      <c r="AB19" s="134">
        <f t="shared" si="2"/>
        <v>3422.27043659345</v>
      </c>
      <c r="AC19" s="134">
        <f t="shared" si="2"/>
        <v>3490.715845325319</v>
      </c>
      <c r="AD19" s="135">
        <f t="shared" si="2"/>
        <v>896650.9520471788</v>
      </c>
    </row>
    <row r="20" ht="15.75" thickBot="1"/>
    <row r="21" spans="2:30" ht="15">
      <c r="B21" s="113" t="s">
        <v>155</v>
      </c>
      <c r="C21" s="153">
        <v>100000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5"/>
    </row>
    <row r="22" spans="2:30" ht="15">
      <c r="B22" s="116" t="s">
        <v>156</v>
      </c>
      <c r="C22" s="156">
        <v>700</v>
      </c>
      <c r="D22" s="125">
        <f aca="true" t="shared" si="3" ref="D22:AD22">+$C$22*(1+$C$11)^(D4-$C$4)</f>
        <v>714</v>
      </c>
      <c r="E22" s="125">
        <f t="shared" si="3"/>
        <v>728.28</v>
      </c>
      <c r="F22" s="125">
        <f t="shared" si="3"/>
        <v>742.8456</v>
      </c>
      <c r="G22" s="125">
        <f t="shared" si="3"/>
        <v>757.702512</v>
      </c>
      <c r="H22" s="125">
        <f t="shared" si="3"/>
        <v>772.85656224</v>
      </c>
      <c r="I22" s="125">
        <f t="shared" si="3"/>
        <v>788.3136934848001</v>
      </c>
      <c r="J22" s="125">
        <f t="shared" si="3"/>
        <v>804.0799673544959</v>
      </c>
      <c r="K22" s="125">
        <f t="shared" si="3"/>
        <v>820.1615667015859</v>
      </c>
      <c r="L22" s="125">
        <f t="shared" si="3"/>
        <v>836.5647980356176</v>
      </c>
      <c r="M22" s="125">
        <f t="shared" si="3"/>
        <v>853.29609399633</v>
      </c>
      <c r="N22" s="125">
        <f t="shared" si="3"/>
        <v>870.3620158762565</v>
      </c>
      <c r="O22" s="125">
        <f t="shared" si="3"/>
        <v>887.7692561937816</v>
      </c>
      <c r="P22" s="125">
        <f t="shared" si="3"/>
        <v>905.5246413176573</v>
      </c>
      <c r="Q22" s="125">
        <f t="shared" si="3"/>
        <v>923.6351341440105</v>
      </c>
      <c r="R22" s="125">
        <f t="shared" si="3"/>
        <v>942.1078368268904</v>
      </c>
      <c r="S22" s="125">
        <f t="shared" si="3"/>
        <v>960.9499935634284</v>
      </c>
      <c r="T22" s="125">
        <f t="shared" si="3"/>
        <v>980.1689934346971</v>
      </c>
      <c r="U22" s="125">
        <f t="shared" si="3"/>
        <v>999.7723733033909</v>
      </c>
      <c r="V22" s="125">
        <f t="shared" si="3"/>
        <v>1019.7678207694587</v>
      </c>
      <c r="W22" s="125">
        <f t="shared" si="3"/>
        <v>1040.1631771848479</v>
      </c>
      <c r="X22" s="125">
        <f t="shared" si="3"/>
        <v>1060.9664407285447</v>
      </c>
      <c r="Y22" s="125">
        <f t="shared" si="3"/>
        <v>1082.1857695431158</v>
      </c>
      <c r="Z22" s="125">
        <f t="shared" si="3"/>
        <v>1103.829484933978</v>
      </c>
      <c r="AA22" s="125">
        <f t="shared" si="3"/>
        <v>1125.9060746326575</v>
      </c>
      <c r="AB22" s="125">
        <f t="shared" si="3"/>
        <v>1148.4241961253106</v>
      </c>
      <c r="AC22" s="125">
        <f t="shared" si="3"/>
        <v>1171.392680047817</v>
      </c>
      <c r="AD22" s="126">
        <f t="shared" si="3"/>
        <v>1194.820533648773</v>
      </c>
    </row>
    <row r="23" spans="2:32" s="2" customFormat="1" ht="15">
      <c r="B23" s="116" t="s">
        <v>157</v>
      </c>
      <c r="C23" s="145">
        <f aca="true" t="shared" si="4" ref="C23:AD23">C22*68</f>
        <v>47600</v>
      </c>
      <c r="D23" s="145">
        <f t="shared" si="4"/>
        <v>48552</v>
      </c>
      <c r="E23" s="145">
        <f t="shared" si="4"/>
        <v>49523.04</v>
      </c>
      <c r="F23" s="145">
        <f t="shared" si="4"/>
        <v>50513.5008</v>
      </c>
      <c r="G23" s="145">
        <f t="shared" si="4"/>
        <v>51523.770816</v>
      </c>
      <c r="H23" s="125">
        <f t="shared" si="4"/>
        <v>52554.24623232</v>
      </c>
      <c r="I23" s="125">
        <f t="shared" si="4"/>
        <v>53605.33115696641</v>
      </c>
      <c r="J23" s="125">
        <f t="shared" si="4"/>
        <v>54677.43778010572</v>
      </c>
      <c r="K23" s="125">
        <f t="shared" si="4"/>
        <v>55770.986535707845</v>
      </c>
      <c r="L23" s="125">
        <f t="shared" si="4"/>
        <v>56886.406266422</v>
      </c>
      <c r="M23" s="145">
        <f t="shared" si="4"/>
        <v>58024.13439175044</v>
      </c>
      <c r="N23" s="145">
        <f t="shared" si="4"/>
        <v>59184.61707958544</v>
      </c>
      <c r="O23" s="145">
        <f t="shared" si="4"/>
        <v>60368.30942117715</v>
      </c>
      <c r="P23" s="145">
        <f t="shared" si="4"/>
        <v>61575.675609600694</v>
      </c>
      <c r="Q23" s="145">
        <f t="shared" si="4"/>
        <v>62807.18912179272</v>
      </c>
      <c r="R23" s="125">
        <f t="shared" si="4"/>
        <v>64063.33290422855</v>
      </c>
      <c r="S23" s="125">
        <f t="shared" si="4"/>
        <v>65344.59956231313</v>
      </c>
      <c r="T23" s="125">
        <f t="shared" si="4"/>
        <v>66651.4915535594</v>
      </c>
      <c r="U23" s="125">
        <f t="shared" si="4"/>
        <v>67984.52138463059</v>
      </c>
      <c r="V23" s="125">
        <f t="shared" si="4"/>
        <v>69344.21181232319</v>
      </c>
      <c r="W23" s="145">
        <f t="shared" si="4"/>
        <v>70731.09604856966</v>
      </c>
      <c r="X23" s="145">
        <f t="shared" si="4"/>
        <v>72145.71796954105</v>
      </c>
      <c r="Y23" s="145">
        <f t="shared" si="4"/>
        <v>73588.63232893188</v>
      </c>
      <c r="Z23" s="145">
        <f t="shared" si="4"/>
        <v>75060.4049755105</v>
      </c>
      <c r="AA23" s="145">
        <f t="shared" si="4"/>
        <v>76561.61307502071</v>
      </c>
      <c r="AB23" s="125">
        <f t="shared" si="4"/>
        <v>78092.84533652112</v>
      </c>
      <c r="AC23" s="125">
        <f t="shared" si="4"/>
        <v>79654.70224325157</v>
      </c>
      <c r="AD23" s="126">
        <f t="shared" si="4"/>
        <v>81247.79628811657</v>
      </c>
      <c r="AE23" s="142"/>
      <c r="AF23" s="142"/>
    </row>
    <row r="24" spans="2:32" s="2" customFormat="1" ht="15">
      <c r="B24" s="116" t="s">
        <v>159</v>
      </c>
      <c r="C24" s="145">
        <f>+SUM(C23:G23)/5/68</f>
        <v>728.5656224</v>
      </c>
      <c r="D24" s="145">
        <f>+C24</f>
        <v>728.5656224</v>
      </c>
      <c r="E24" s="145">
        <f>+C24</f>
        <v>728.5656224</v>
      </c>
      <c r="F24" s="145">
        <f>+C24</f>
        <v>728.5656224</v>
      </c>
      <c r="G24" s="145">
        <f>+C24</f>
        <v>728.5656224</v>
      </c>
      <c r="H24" s="146">
        <f>+SUM(H23:L23)/5/68</f>
        <v>804.3953175632998</v>
      </c>
      <c r="I24" s="146">
        <f>+H24</f>
        <v>804.3953175632998</v>
      </c>
      <c r="J24" s="146">
        <f>+H24</f>
        <v>804.3953175632998</v>
      </c>
      <c r="K24" s="146">
        <f>+H24</f>
        <v>804.3953175632998</v>
      </c>
      <c r="L24" s="146">
        <f>+H24</f>
        <v>804.3953175632998</v>
      </c>
      <c r="M24" s="145">
        <f>+SUM(M23:Q23)/5/68</f>
        <v>888.1174283056071</v>
      </c>
      <c r="N24" s="145">
        <f>+M24</f>
        <v>888.1174283056071</v>
      </c>
      <c r="O24" s="145">
        <f>+M24</f>
        <v>888.1174283056071</v>
      </c>
      <c r="P24" s="145">
        <f>+M24</f>
        <v>888.1174283056071</v>
      </c>
      <c r="Q24" s="145">
        <f>+M24</f>
        <v>888.1174283056071</v>
      </c>
      <c r="R24" s="146">
        <f>+SUM(R23:V23)/5/68</f>
        <v>980.553403579573</v>
      </c>
      <c r="S24" s="146">
        <f>+R24</f>
        <v>980.553403579573</v>
      </c>
      <c r="T24" s="146">
        <f>+R24</f>
        <v>980.553403579573</v>
      </c>
      <c r="U24" s="146">
        <f>+R24</f>
        <v>980.553403579573</v>
      </c>
      <c r="V24" s="146">
        <f>+R24</f>
        <v>980.553403579573</v>
      </c>
      <c r="W24" s="145">
        <f>+SUM(W23:AA23)/5/68</f>
        <v>1082.6101894046287</v>
      </c>
      <c r="X24" s="145">
        <f>+W24</f>
        <v>1082.6101894046287</v>
      </c>
      <c r="Y24" s="145">
        <f>+W24</f>
        <v>1082.6101894046287</v>
      </c>
      <c r="Z24" s="145">
        <f>+W24</f>
        <v>1082.6101894046287</v>
      </c>
      <c r="AA24" s="145">
        <f>+W24</f>
        <v>1082.6101894046287</v>
      </c>
      <c r="AB24" s="146">
        <f>+SUM(AB23:AD23)/3/68</f>
        <v>1171.545803273967</v>
      </c>
      <c r="AC24" s="146">
        <f>+AB24</f>
        <v>1171.545803273967</v>
      </c>
      <c r="AD24" s="157">
        <f>+AB24</f>
        <v>1171.545803273967</v>
      </c>
      <c r="AE24" s="142"/>
      <c r="AF24" s="142"/>
    </row>
    <row r="25" spans="2:30" ht="15">
      <c r="B25" s="127" t="s">
        <v>158</v>
      </c>
      <c r="C25" s="144">
        <f aca="true" t="shared" si="5" ref="C25:AD25">C24*68</f>
        <v>49542.4623232</v>
      </c>
      <c r="D25" s="144">
        <f t="shared" si="5"/>
        <v>49542.4623232</v>
      </c>
      <c r="E25" s="144">
        <f t="shared" si="5"/>
        <v>49542.4623232</v>
      </c>
      <c r="F25" s="144">
        <f t="shared" si="5"/>
        <v>49542.4623232</v>
      </c>
      <c r="G25" s="144">
        <f t="shared" si="5"/>
        <v>49542.4623232</v>
      </c>
      <c r="H25" s="143">
        <f t="shared" si="5"/>
        <v>54698.88159430439</v>
      </c>
      <c r="I25" s="143">
        <f t="shared" si="5"/>
        <v>54698.88159430439</v>
      </c>
      <c r="J25" s="143">
        <f t="shared" si="5"/>
        <v>54698.88159430439</v>
      </c>
      <c r="K25" s="143">
        <f t="shared" si="5"/>
        <v>54698.88159430439</v>
      </c>
      <c r="L25" s="143">
        <f t="shared" si="5"/>
        <v>54698.88159430439</v>
      </c>
      <c r="M25" s="144">
        <f t="shared" si="5"/>
        <v>60391.98512478128</v>
      </c>
      <c r="N25" s="144">
        <f t="shared" si="5"/>
        <v>60391.98512478128</v>
      </c>
      <c r="O25" s="144">
        <f t="shared" si="5"/>
        <v>60391.98512478128</v>
      </c>
      <c r="P25" s="144">
        <f t="shared" si="5"/>
        <v>60391.98512478128</v>
      </c>
      <c r="Q25" s="144">
        <f t="shared" si="5"/>
        <v>60391.98512478128</v>
      </c>
      <c r="R25" s="143">
        <f t="shared" si="5"/>
        <v>66677.63144341097</v>
      </c>
      <c r="S25" s="143">
        <f t="shared" si="5"/>
        <v>66677.63144341097</v>
      </c>
      <c r="T25" s="143">
        <f t="shared" si="5"/>
        <v>66677.63144341097</v>
      </c>
      <c r="U25" s="143">
        <f t="shared" si="5"/>
        <v>66677.63144341097</v>
      </c>
      <c r="V25" s="143">
        <f t="shared" si="5"/>
        <v>66677.63144341097</v>
      </c>
      <c r="W25" s="144">
        <f t="shared" si="5"/>
        <v>73617.49287951476</v>
      </c>
      <c r="X25" s="144">
        <f t="shared" si="5"/>
        <v>73617.49287951476</v>
      </c>
      <c r="Y25" s="144">
        <f t="shared" si="5"/>
        <v>73617.49287951476</v>
      </c>
      <c r="Z25" s="144">
        <f t="shared" si="5"/>
        <v>73617.49287951476</v>
      </c>
      <c r="AA25" s="144">
        <f t="shared" si="5"/>
        <v>73617.49287951476</v>
      </c>
      <c r="AB25" s="143">
        <f t="shared" si="5"/>
        <v>79665.11462262976</v>
      </c>
      <c r="AC25" s="143">
        <f t="shared" si="5"/>
        <v>79665.11462262976</v>
      </c>
      <c r="AD25" s="158">
        <f t="shared" si="5"/>
        <v>79665.11462262976</v>
      </c>
    </row>
    <row r="26" spans="2:30" ht="15">
      <c r="B26" s="116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31"/>
    </row>
    <row r="27" spans="2:30" ht="15.75" thickBot="1">
      <c r="B27" s="159" t="s">
        <v>160</v>
      </c>
      <c r="C27" s="160">
        <f>+C21+C25-C19</f>
        <v>142410.5743232</v>
      </c>
      <c r="D27" s="160">
        <f>+C27+D25-D19</f>
        <v>57426.327660432</v>
      </c>
      <c r="E27" s="160">
        <f aca="true" t="shared" si="6" ref="E27:AD27">+D27+E25-E19</f>
        <v>104798.53693430463</v>
      </c>
      <c r="F27" s="160">
        <f t="shared" si="6"/>
        <v>152127.34114719075</v>
      </c>
      <c r="G27" s="160">
        <f t="shared" si="6"/>
        <v>199411.87219787054</v>
      </c>
      <c r="H27" s="160">
        <f t="shared" si="6"/>
        <v>251807.66389420434</v>
      </c>
      <c r="I27" s="160">
        <f t="shared" si="6"/>
        <v>-285082.0687583533</v>
      </c>
      <c r="J27" s="160">
        <f t="shared" si="6"/>
        <v>-232779.3218938975</v>
      </c>
      <c r="K27" s="160">
        <f t="shared" si="6"/>
        <v>-180524.49772403867</v>
      </c>
      <c r="L27" s="160">
        <f t="shared" si="6"/>
        <v>-128318.55470266876</v>
      </c>
      <c r="M27" s="160">
        <f t="shared" si="6"/>
        <v>-70469.36692228065</v>
      </c>
      <c r="N27" s="160">
        <f t="shared" si="6"/>
        <v>-12671.035088780409</v>
      </c>
      <c r="O27" s="160">
        <f t="shared" si="6"/>
        <v>45075.42367889421</v>
      </c>
      <c r="P27" s="160">
        <f t="shared" si="6"/>
        <v>-65144.986017281844</v>
      </c>
      <c r="Q27" s="160">
        <f t="shared" si="6"/>
        <v>-7505.406514434335</v>
      </c>
      <c r="R27" s="160">
        <f t="shared" si="6"/>
        <v>56364.77119460419</v>
      </c>
      <c r="S27" s="160">
        <f t="shared" si="6"/>
        <v>120178.79982895528</v>
      </c>
      <c r="T27" s="160">
        <f t="shared" si="6"/>
        <v>183935.55640712517</v>
      </c>
      <c r="U27" s="160">
        <f t="shared" si="6"/>
        <v>247633.89548799023</v>
      </c>
      <c r="V27" s="160">
        <f t="shared" si="6"/>
        <v>311272.6487216044</v>
      </c>
      <c r="W27" s="160">
        <f t="shared" si="6"/>
        <v>381790.48582712637</v>
      </c>
      <c r="X27" s="160">
        <f t="shared" si="6"/>
        <v>452246.32981716853</v>
      </c>
      <c r="Y27" s="160">
        <f t="shared" si="6"/>
        <v>522638.94082942116</v>
      </c>
      <c r="Z27" s="160">
        <f t="shared" si="6"/>
        <v>592967.0542043287</v>
      </c>
      <c r="AA27" s="160">
        <f t="shared" si="6"/>
        <v>663229.379989144</v>
      </c>
      <c r="AB27" s="160">
        <f t="shared" si="6"/>
        <v>739472.2241751803</v>
      </c>
      <c r="AC27" s="160">
        <f t="shared" si="6"/>
        <v>815646.6229524848</v>
      </c>
      <c r="AD27" s="161">
        <f t="shared" si="6"/>
        <v>-1339.2144720642827</v>
      </c>
    </row>
  </sheetData>
  <sheetProtection/>
  <printOptions/>
  <pageMargins left="0.7" right="0.7" top="0.75" bottom="0.75" header="0.3" footer="0.3"/>
  <pageSetup fitToWidth="0" fitToHeight="1" horizontalDpi="1200" verticalDpi="1200" orientation="landscape" r:id="rId4"/>
  <colBreaks count="1" manualBreakCount="1">
    <brk id="31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3.57421875" style="2" bestFit="1" customWidth="1"/>
    <col min="2" max="2" width="8.28125" style="2" bestFit="1" customWidth="1"/>
    <col min="3" max="3" width="12.7109375" style="2" customWidth="1"/>
    <col min="4" max="16384" width="9.140625" style="2" customWidth="1"/>
  </cols>
  <sheetData>
    <row r="1" spans="1:5" ht="15">
      <c r="A1" s="162" t="s">
        <v>137</v>
      </c>
      <c r="B1" s="162" t="s">
        <v>136</v>
      </c>
      <c r="C1" s="162" t="s">
        <v>135</v>
      </c>
      <c r="D1" s="162" t="s">
        <v>134</v>
      </c>
      <c r="E1" s="162"/>
    </row>
    <row r="2" spans="1:5" ht="15">
      <c r="A2" s="163" t="s">
        <v>133</v>
      </c>
      <c r="B2" s="163">
        <v>22</v>
      </c>
      <c r="C2" s="163">
        <v>19</v>
      </c>
      <c r="D2" s="163">
        <f>10*(C2+B2)</f>
        <v>410</v>
      </c>
      <c r="E2" s="164">
        <f aca="true" t="shared" si="0" ref="E2:E7">D2/$D$8</f>
        <v>0.44086021505376344</v>
      </c>
    </row>
    <row r="3" spans="1:5" ht="15">
      <c r="A3" s="110" t="s">
        <v>132</v>
      </c>
      <c r="B3" s="110">
        <v>5</v>
      </c>
      <c r="C3" s="110"/>
      <c r="D3" s="110">
        <f>10*B3</f>
        <v>50</v>
      </c>
      <c r="E3" s="165">
        <f t="shared" si="0"/>
        <v>0.053763440860215055</v>
      </c>
    </row>
    <row r="4" spans="1:5" ht="15">
      <c r="A4" s="110" t="s">
        <v>131</v>
      </c>
      <c r="B4" s="110">
        <v>26</v>
      </c>
      <c r="C4" s="110">
        <v>6</v>
      </c>
      <c r="D4" s="110">
        <f>10*(B4+C4)</f>
        <v>320</v>
      </c>
      <c r="E4" s="165">
        <f t="shared" si="0"/>
        <v>0.34408602150537637</v>
      </c>
    </row>
    <row r="5" spans="1:5" ht="15">
      <c r="A5" s="110" t="s">
        <v>130</v>
      </c>
      <c r="B5" s="110">
        <v>9</v>
      </c>
      <c r="C5" s="110"/>
      <c r="D5" s="110">
        <f>10*B5</f>
        <v>90</v>
      </c>
      <c r="E5" s="165">
        <f t="shared" si="0"/>
        <v>0.0967741935483871</v>
      </c>
    </row>
    <row r="6" spans="1:5" ht="15">
      <c r="A6" s="110" t="s">
        <v>129</v>
      </c>
      <c r="B6" s="110">
        <v>2</v>
      </c>
      <c r="C6" s="110"/>
      <c r="D6" s="110">
        <f>10*B6</f>
        <v>20</v>
      </c>
      <c r="E6" s="165">
        <f t="shared" si="0"/>
        <v>0.021505376344086023</v>
      </c>
    </row>
    <row r="7" spans="1:5" ht="15">
      <c r="A7" s="166" t="s">
        <v>128</v>
      </c>
      <c r="B7" s="166">
        <v>4</v>
      </c>
      <c r="C7" s="166"/>
      <c r="D7" s="166">
        <f>10*B7</f>
        <v>40</v>
      </c>
      <c r="E7" s="167">
        <f t="shared" si="0"/>
        <v>0.043010752688172046</v>
      </c>
    </row>
    <row r="8" spans="1:5" ht="15">
      <c r="A8" s="46" t="s">
        <v>127</v>
      </c>
      <c r="B8" s="46">
        <f>SUM(B2:B7)</f>
        <v>68</v>
      </c>
      <c r="C8" s="46"/>
      <c r="D8" s="46">
        <f>SUM(D2:D7)</f>
        <v>930</v>
      </c>
      <c r="E8" s="4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3" width="9.140625" style="2" customWidth="1"/>
    <col min="4" max="4" width="14.421875" style="2" bestFit="1" customWidth="1"/>
    <col min="5" max="6" width="9.140625" style="2" customWidth="1"/>
    <col min="7" max="7" width="12.00390625" style="2" bestFit="1" customWidth="1"/>
    <col min="8" max="16384" width="9.140625" style="2" customWidth="1"/>
  </cols>
  <sheetData>
    <row r="1" spans="2:7" ht="15">
      <c r="B1" s="2" t="s">
        <v>143</v>
      </c>
      <c r="C1" s="2" t="s">
        <v>142</v>
      </c>
      <c r="D1" s="102" t="s">
        <v>141</v>
      </c>
      <c r="G1" s="2" t="s">
        <v>140</v>
      </c>
    </row>
    <row r="2" spans="1:4" ht="15.75" thickBot="1">
      <c r="A2" s="2" t="s">
        <v>9</v>
      </c>
      <c r="B2" s="2">
        <f>Quantities!O19</f>
        <v>3.3666666666666667</v>
      </c>
      <c r="C2" s="2">
        <f>AVERAGE(B2:B7)</f>
        <v>3.1791666666666667</v>
      </c>
      <c r="D2" s="101">
        <f>STDEV(B2:B7)</f>
        <v>0.2931509849889643</v>
      </c>
    </row>
    <row r="3" spans="1:7" ht="15">
      <c r="A3" s="2" t="s">
        <v>11</v>
      </c>
      <c r="B3" s="103">
        <f>Quantities!O25</f>
        <v>3.1666666666666665</v>
      </c>
      <c r="C3" s="2">
        <f>AVERAGE(B2:B7)</f>
        <v>3.1791666666666667</v>
      </c>
      <c r="D3" s="2" t="s">
        <v>138</v>
      </c>
      <c r="E3" s="2">
        <v>0.04264014327112029</v>
      </c>
      <c r="G3" s="2">
        <f>(C3-$D$2*E3)-B3</f>
        <v>0</v>
      </c>
    </row>
    <row r="4" spans="1:7" ht="15">
      <c r="A4" s="2" t="s">
        <v>139</v>
      </c>
      <c r="B4" s="2">
        <f>Quantities!O48</f>
        <v>2.875</v>
      </c>
      <c r="C4" s="2">
        <f>AVERAGE(B2:B7)</f>
        <v>3.1791666666666667</v>
      </c>
      <c r="D4" s="2" t="s">
        <v>138</v>
      </c>
      <c r="E4" s="2">
        <v>1.0375768195972808</v>
      </c>
      <c r="G4" s="2">
        <f>(C4-$D$2*E4)-B4</f>
        <v>7.105427357601002E-15</v>
      </c>
    </row>
    <row r="5" spans="1:7" ht="15">
      <c r="A5" s="2" t="s">
        <v>15</v>
      </c>
      <c r="B5" s="2">
        <f>Quantities!O59</f>
        <v>3</v>
      </c>
      <c r="C5" s="2">
        <f>AVERAGE(B2:B7)</f>
        <v>3.1791666666666667</v>
      </c>
      <c r="D5" s="2" t="s">
        <v>138</v>
      </c>
      <c r="E5" s="2">
        <v>0.6111753868860618</v>
      </c>
      <c r="G5" s="2">
        <f>(C5-$D$2*E5)-B5</f>
        <v>6.217248937900877E-15</v>
      </c>
    </row>
    <row r="6" spans="1:3" ht="15">
      <c r="A6" s="2" t="s">
        <v>17</v>
      </c>
      <c r="B6" s="103">
        <f>Quantities!O65</f>
        <v>3.6666666666666665</v>
      </c>
      <c r="C6" s="2">
        <f>AVERAGE(B2:B7)</f>
        <v>3.1791666666666667</v>
      </c>
    </row>
    <row r="7" spans="1:7" ht="15">
      <c r="A7" s="2" t="s">
        <v>19</v>
      </c>
      <c r="B7" s="103">
        <f>Quantities!O71</f>
        <v>3</v>
      </c>
      <c r="C7" s="2">
        <f>AVERAGE(B2:B7)</f>
        <v>3.1791666666666667</v>
      </c>
      <c r="D7" s="2" t="s">
        <v>138</v>
      </c>
      <c r="E7" s="2">
        <v>0.6111753868860618</v>
      </c>
      <c r="G7" s="2">
        <f>(C7-$D$2*E7)-B7</f>
        <v>6.217248937900877E-15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Genesis Engineering</dc:creator>
  <cp:keywords/>
  <dc:description/>
  <cp:lastModifiedBy>WGS2</cp:lastModifiedBy>
  <cp:lastPrinted>2016-06-20T18:39:09Z</cp:lastPrinted>
  <dcterms:created xsi:type="dcterms:W3CDTF">2016-06-08T15:42:35Z</dcterms:created>
  <dcterms:modified xsi:type="dcterms:W3CDTF">2016-06-20T20:26:58Z</dcterms:modified>
  <cp:category/>
  <cp:version/>
  <cp:contentType/>
  <cp:contentStatus/>
</cp:coreProperties>
</file>